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450" yWindow="705" windowWidth="9495" windowHeight="11985"/>
  </bookViews>
  <sheets>
    <sheet name="RESUMO" sheetId="1" r:id="rId1"/>
    <sheet name="ANALÍTICO" sheetId="2" r:id="rId2"/>
    <sheet name="CRONOGRAMA" sheetId="3" r:id="rId3"/>
    <sheet name="ANALÍTICO ELÉTRICO E LÓGICO" sheetId="8" r:id="rId4"/>
    <sheet name="MEMÓRIA DE CÁLCULO" sheetId="4" r:id="rId5"/>
  </sheets>
  <definedNames>
    <definedName name="_xlnm._FilterDatabase" localSheetId="1" hidden="1">ANALÍTICO!$D$16:$D$30</definedName>
    <definedName name="_xlnm._FilterDatabase" localSheetId="3" hidden="1">'ANALÍTICO ELÉTRICO E LÓGICO'!$A$8:$IV$1148</definedName>
    <definedName name="_xlnm.Print_Area" localSheetId="1">ANALÍTICO!$A$1:$O$1395</definedName>
    <definedName name="_xlnm.Print_Area" localSheetId="3">'ANALÍTICO ELÉTRICO E LÓGICO'!$A$1:$P$1148</definedName>
    <definedName name="_xlnm.Print_Area" localSheetId="2">CRONOGRAMA!$A$1:$U$201</definedName>
    <definedName name="_xlnm.Print_Area" localSheetId="0">RESUMO!$A$1:$D$33</definedName>
    <definedName name="_xlnm.Print_Titles" localSheetId="1">ANALÍTICO!$1:$13</definedName>
    <definedName name="_xlnm.Print_Titles" localSheetId="3">'ANALÍTICO ELÉTRICO E LÓGICO'!$1:$9</definedName>
    <definedName name="_xlnm.Print_Titles" localSheetId="2">CRONOGRAMA!$1:$12</definedName>
    <definedName name="Z_085E57EC_FCE4_472B_96BD_85A48C0D7EC5_.wvu.PrintArea" localSheetId="1" hidden="1">ANALÍTICO!$A$1:$O$1395</definedName>
    <definedName name="Z_085E57EC_FCE4_472B_96BD_85A48C0D7EC5_.wvu.PrintArea" localSheetId="2" hidden="1">CRONOGRAMA!$A$1:$U$201</definedName>
    <definedName name="Z_085E57EC_FCE4_472B_96BD_85A48C0D7EC5_.wvu.PrintArea" localSheetId="0" hidden="1">RESUMO!$A$1:$D$33</definedName>
    <definedName name="Z_085E57EC_FCE4_472B_96BD_85A48C0D7EC5_.wvu.PrintTitles" localSheetId="1" hidden="1">ANALÍTICO!$1:$13</definedName>
    <definedName name="Z_085E57EC_FCE4_472B_96BD_85A48C0D7EC5_.wvu.PrintTitles" localSheetId="2" hidden="1">CRONOGRAMA!$1:$12</definedName>
    <definedName name="Z_64A379BA_3141_462E_A550_7507503698AB_.wvu.FilterData" localSheetId="1" hidden="1">ANALÍTICO!$D$16:$D$30</definedName>
    <definedName name="Z_64A379BA_3141_462E_A550_7507503698AB_.wvu.PrintArea" localSheetId="1" hidden="1">ANALÍTICO!$A$1:$O$1395</definedName>
    <definedName name="Z_64A379BA_3141_462E_A550_7507503698AB_.wvu.PrintArea" localSheetId="2" hidden="1">CRONOGRAMA!$A$1:$U$201</definedName>
    <definedName name="Z_64A379BA_3141_462E_A550_7507503698AB_.wvu.PrintArea" localSheetId="0" hidden="1">RESUMO!$A$1:$D$33</definedName>
    <definedName name="Z_64A379BA_3141_462E_A550_7507503698AB_.wvu.PrintTitles" localSheetId="1" hidden="1">ANALÍTICO!$1:$13</definedName>
    <definedName name="Z_64A379BA_3141_462E_A550_7507503698AB_.wvu.PrintTitles" localSheetId="2" hidden="1">CRONOGRAMA!$1:$12</definedName>
    <definedName name="Z_825D4FC7_FF38_412C_872D_5E84522A6144_.wvu.FilterData" localSheetId="1" hidden="1">ANALÍTICO!$D$16:$D$30</definedName>
    <definedName name="Z_86F7B259_3903_422A_9828_3ECDDA1EE621_.wvu.FilterData" localSheetId="1" hidden="1">ANALÍTICO!$D$16:$D$30</definedName>
    <definedName name="Z_A9E6D264_7B9C_4375_A0CF_466470785BB4_.wvu.Cols" localSheetId="4" hidden="1">'MEMÓRIA DE CÁLCULO'!$F:$N</definedName>
    <definedName name="Z_A9E6D264_7B9C_4375_A0CF_466470785BB4_.wvu.FilterData" localSheetId="1" hidden="1">ANALÍTICO!$D$16:$D$30</definedName>
    <definedName name="Z_A9E6D264_7B9C_4375_A0CF_466470785BB4_.wvu.PrintArea" localSheetId="1" hidden="1">ANALÍTICO!$A$1:$O$1395</definedName>
    <definedName name="Z_A9E6D264_7B9C_4375_A0CF_466470785BB4_.wvu.PrintArea" localSheetId="2" hidden="1">CRONOGRAMA!$A$1:$U$201</definedName>
    <definedName name="Z_A9E6D264_7B9C_4375_A0CF_466470785BB4_.wvu.PrintArea" localSheetId="0" hidden="1">RESUMO!$A$1:$D$33</definedName>
    <definedName name="Z_A9E6D264_7B9C_4375_A0CF_466470785BB4_.wvu.PrintTitles" localSheetId="1" hidden="1">ANALÍTICO!$1:$13</definedName>
    <definedName name="Z_A9E6D264_7B9C_4375_A0CF_466470785BB4_.wvu.PrintTitles" localSheetId="2" hidden="1">CRONOGRAMA!$1:$12</definedName>
    <definedName name="Z_DD765DCE_E655_456A_9D24_4450FE20736A_.wvu.Cols" localSheetId="4" hidden="1">'MEMÓRIA DE CÁLCULO'!$F:$N</definedName>
    <definedName name="Z_DD765DCE_E655_456A_9D24_4450FE20736A_.wvu.FilterData" localSheetId="1" hidden="1">ANALÍTICO!$D$16:$D$30</definedName>
    <definedName name="Z_DD765DCE_E655_456A_9D24_4450FE20736A_.wvu.PrintArea" localSheetId="1" hidden="1">ANALÍTICO!$A$1:$O$1395</definedName>
    <definedName name="Z_DD765DCE_E655_456A_9D24_4450FE20736A_.wvu.PrintArea" localSheetId="2" hidden="1">CRONOGRAMA!$A$1:$U$201</definedName>
    <definedName name="Z_DD765DCE_E655_456A_9D24_4450FE20736A_.wvu.PrintArea" localSheetId="0" hidden="1">RESUMO!$A$1:$D$33</definedName>
    <definedName name="Z_DD765DCE_E655_456A_9D24_4450FE20736A_.wvu.PrintTitles" localSheetId="1" hidden="1">ANALÍTICO!$1:$13</definedName>
    <definedName name="Z_DD765DCE_E655_456A_9D24_4450FE20736A_.wvu.PrintTitles" localSheetId="2" hidden="1">CRONOGRAMA!$1:$12</definedName>
  </definedNames>
  <calcPr calcId="145621"/>
  <customWorkbookViews>
    <customWorkbookView name="Gilberto Ditzel - Modo de exibição pessoal" guid="{A9E6D264-7B9C-4375-A0CF-466470785BB4}" mergeInterval="0" personalView="1" maximized="1" windowWidth="1276" windowHeight="809" activeSheetId="2"/>
    <customWorkbookView name="Anadélia Trentini Campara - Modo de exibição pessoal" guid="{DD765DCE-E655-456A-9D24-4450FE20736A}" mergeInterval="0" personalView="1" maximized="1" windowWidth="1276" windowHeight="799" activeSheetId="3"/>
    <customWorkbookView name="antoniogondim - Modo de exibição pessoal" guid="{085E57EC-FCE4-472B-96BD-85A48C0D7EC5}" mergeInterval="0" personalView="1" maximized="1" windowWidth="1276" windowHeight="876" activeSheetId="2"/>
    <customWorkbookView name="Antonio Cesar Teofilo Gondim - Modo de exibição pessoal" guid="{64A379BA-3141-462E-A550-7507503698AB}" mergeInterval="0" personalView="1" maximized="1" windowWidth="1276" windowHeight="799" activeSheetId="2"/>
  </customWorkbookViews>
</workbook>
</file>

<file path=xl/calcChain.xml><?xml version="1.0" encoding="utf-8"?>
<calcChain xmlns="http://schemas.openxmlformats.org/spreadsheetml/2006/main">
  <c r="L1077" i="8" l="1"/>
  <c r="M1035" i="8"/>
  <c r="M1033" i="8"/>
  <c r="M1031" i="8"/>
  <c r="L1029" i="8"/>
  <c r="M894" i="8"/>
  <c r="L220" i="8"/>
  <c r="L207" i="8"/>
  <c r="L155" i="8"/>
  <c r="M137" i="8"/>
  <c r="L137" i="8"/>
  <c r="L131" i="8"/>
  <c r="M129" i="8"/>
  <c r="L86" i="8"/>
  <c r="M35" i="8"/>
  <c r="N137" i="8" l="1"/>
  <c r="F474" i="2"/>
  <c r="F455" i="2"/>
  <c r="F388" i="2"/>
  <c r="F382" i="2"/>
  <c r="H342" i="2"/>
  <c r="F339" i="2"/>
  <c r="F314" i="2"/>
  <c r="F308" i="2"/>
  <c r="G249" i="2"/>
  <c r="G226" i="2"/>
  <c r="G202" i="2"/>
  <c r="I18" i="2"/>
  <c r="I16" i="2"/>
  <c r="I189" i="8" l="1"/>
  <c r="K189" i="8" s="1"/>
  <c r="I173" i="8"/>
  <c r="I172" i="8" s="1"/>
  <c r="L172" i="8" s="1"/>
  <c r="J175" i="8"/>
  <c r="K175" i="8" s="1"/>
  <c r="J174" i="8"/>
  <c r="K174" i="8" s="1"/>
  <c r="J172" i="8" l="1"/>
  <c r="M172" i="8" s="1"/>
  <c r="N172" i="8" s="1"/>
  <c r="H1269" i="2"/>
  <c r="K172" i="8" l="1"/>
  <c r="H1384" i="2"/>
  <c r="H1380" i="2"/>
  <c r="H1376" i="2"/>
  <c r="K1376" i="2" s="1"/>
  <c r="H1372" i="2"/>
  <c r="H1210" i="2"/>
  <c r="H1174" i="2"/>
  <c r="H1045" i="2"/>
  <c r="H1009" i="2"/>
  <c r="H873" i="2"/>
  <c r="H831" i="2"/>
  <c r="I544" i="2"/>
  <c r="I539" i="2"/>
  <c r="I534" i="2"/>
  <c r="I513" i="2"/>
  <c r="I510" i="2"/>
  <c r="I439" i="2"/>
  <c r="H379" i="2"/>
  <c r="I366" i="2"/>
  <c r="I292" i="2"/>
  <c r="I279" i="2"/>
  <c r="I241" i="2"/>
  <c r="I238" i="2"/>
  <c r="I235" i="2"/>
  <c r="I218" i="2"/>
  <c r="I215" i="2"/>
  <c r="I212" i="2"/>
  <c r="H213" i="2"/>
  <c r="H212" i="2" s="1"/>
  <c r="I194" i="2"/>
  <c r="I191" i="2"/>
  <c r="I180" i="2"/>
  <c r="H115" i="2"/>
  <c r="K115" i="2" s="1"/>
  <c r="H98" i="2"/>
  <c r="H72" i="2"/>
  <c r="H66" i="2"/>
  <c r="H63" i="2"/>
  <c r="H60" i="2"/>
  <c r="H35" i="2"/>
  <c r="H32" i="2"/>
  <c r="L1392" i="2"/>
  <c r="M1392" i="2" s="1"/>
  <c r="K1392" i="2"/>
  <c r="J1392" i="2"/>
  <c r="J1390" i="2"/>
  <c r="K1384" i="2"/>
  <c r="K1380" i="2"/>
  <c r="K1372" i="2"/>
  <c r="L1358" i="2"/>
  <c r="K1358" i="2"/>
  <c r="J1358" i="2"/>
  <c r="L1356" i="2"/>
  <c r="J1346" i="2"/>
  <c r="J1342" i="2"/>
  <c r="J1338" i="2"/>
  <c r="J1334" i="2"/>
  <c r="J1328" i="2"/>
  <c r="J1326" i="2"/>
  <c r="J1324" i="2"/>
  <c r="J1322" i="2"/>
  <c r="J1318" i="2"/>
  <c r="J1316" i="2"/>
  <c r="J1314" i="2"/>
  <c r="J1312" i="2"/>
  <c r="J1310" i="2"/>
  <c r="J1306" i="2"/>
  <c r="J1304" i="2"/>
  <c r="J1302" i="2"/>
  <c r="J1300" i="2"/>
  <c r="J1298" i="2"/>
  <c r="J1296" i="2"/>
  <c r="J1292" i="2"/>
  <c r="J1290" i="2"/>
  <c r="J1288" i="2"/>
  <c r="J1286" i="2"/>
  <c r="J1280" i="2"/>
  <c r="K1273" i="2"/>
  <c r="K1269" i="2"/>
  <c r="J1264" i="2"/>
  <c r="J1258" i="2"/>
  <c r="J1252" i="2"/>
  <c r="J1243" i="2"/>
  <c r="J1196" i="2"/>
  <c r="K1174" i="2"/>
  <c r="J1120" i="2"/>
  <c r="J1118" i="2"/>
  <c r="J1078" i="2"/>
  <c r="J1031" i="2"/>
  <c r="K1009" i="2"/>
  <c r="J955" i="2"/>
  <c r="J953" i="2"/>
  <c r="J913" i="2"/>
  <c r="J853" i="2"/>
  <c r="K831" i="2"/>
  <c r="J767" i="2"/>
  <c r="J763" i="2"/>
  <c r="J761" i="2"/>
  <c r="J716" i="2"/>
  <c r="J714" i="2"/>
  <c r="J712" i="2"/>
  <c r="J708" i="2"/>
  <c r="J704" i="2"/>
  <c r="L702" i="2"/>
  <c r="K702" i="2"/>
  <c r="J702" i="2"/>
  <c r="J687" i="2"/>
  <c r="J674" i="2"/>
  <c r="J672" i="2"/>
  <c r="J655" i="2"/>
  <c r="J651" i="2"/>
  <c r="J645" i="2"/>
  <c r="J635" i="2"/>
  <c r="K626" i="2"/>
  <c r="J624" i="2"/>
  <c r="L622" i="2"/>
  <c r="M622" i="2" s="1"/>
  <c r="K622" i="2"/>
  <c r="J622" i="2"/>
  <c r="J614" i="2"/>
  <c r="L610" i="2"/>
  <c r="K610" i="2"/>
  <c r="J610" i="2"/>
  <c r="J596" i="2"/>
  <c r="J594" i="2"/>
  <c r="J592" i="2"/>
  <c r="J588" i="2"/>
  <c r="J586" i="2"/>
  <c r="J584" i="2"/>
  <c r="J580" i="2"/>
  <c r="J573" i="2"/>
  <c r="J571" i="2"/>
  <c r="J567" i="2"/>
  <c r="J565" i="2"/>
  <c r="J561" i="2"/>
  <c r="J559" i="2"/>
  <c r="J557" i="2"/>
  <c r="J553" i="2"/>
  <c r="J551" i="2"/>
  <c r="J528" i="2"/>
  <c r="J526" i="2"/>
  <c r="L508" i="2"/>
  <c r="K508" i="2"/>
  <c r="J508" i="2"/>
  <c r="J479" i="2"/>
  <c r="L439" i="2"/>
  <c r="J435" i="2"/>
  <c r="J433" i="2"/>
  <c r="J429" i="2"/>
  <c r="J427" i="2"/>
  <c r="L416" i="2"/>
  <c r="K416" i="2"/>
  <c r="J416" i="2"/>
  <c r="J414" i="2"/>
  <c r="J412" i="2"/>
  <c r="L366" i="2"/>
  <c r="J362" i="2"/>
  <c r="J356" i="2"/>
  <c r="J354" i="2"/>
  <c r="J348" i="2"/>
  <c r="L346" i="2"/>
  <c r="M346" i="2" s="1"/>
  <c r="K346" i="2"/>
  <c r="J346" i="2"/>
  <c r="L342" i="2"/>
  <c r="K342" i="2"/>
  <c r="J342" i="2"/>
  <c r="J275" i="2"/>
  <c r="J273" i="2"/>
  <c r="J271" i="2"/>
  <c r="J267" i="2"/>
  <c r="L261" i="2"/>
  <c r="K261" i="2"/>
  <c r="J261" i="2"/>
  <c r="J231" i="2"/>
  <c r="J207" i="2"/>
  <c r="J187" i="2"/>
  <c r="J176" i="2"/>
  <c r="J167" i="2"/>
  <c r="J165" i="2"/>
  <c r="J163" i="2"/>
  <c r="J158" i="2"/>
  <c r="J156" i="2"/>
  <c r="J154" i="2"/>
  <c r="J149" i="2"/>
  <c r="J147" i="2"/>
  <c r="J145" i="2"/>
  <c r="J139" i="2"/>
  <c r="J137" i="2"/>
  <c r="J135" i="2"/>
  <c r="J129" i="2"/>
  <c r="J127" i="2"/>
  <c r="J125" i="2"/>
  <c r="J118" i="2"/>
  <c r="J113" i="2"/>
  <c r="J111" i="2"/>
  <c r="J109" i="2"/>
  <c r="J107" i="2"/>
  <c r="J105" i="2"/>
  <c r="J103" i="2"/>
  <c r="J96" i="2"/>
  <c r="J94" i="2"/>
  <c r="J92" i="2"/>
  <c r="J90" i="2"/>
  <c r="J88" i="2"/>
  <c r="J86" i="2"/>
  <c r="J84" i="2"/>
  <c r="J80" i="2"/>
  <c r="J78" i="2"/>
  <c r="J76" i="2"/>
  <c r="J70" i="2"/>
  <c r="J58" i="2"/>
  <c r="J56" i="2"/>
  <c r="J54" i="2"/>
  <c r="J52" i="2"/>
  <c r="J50" i="2"/>
  <c r="J48" i="2"/>
  <c r="J46" i="2"/>
  <c r="J44" i="2"/>
  <c r="L40" i="2"/>
  <c r="K40" i="2"/>
  <c r="J40" i="2"/>
  <c r="L26" i="2"/>
  <c r="M26" i="2" s="1"/>
  <c r="K26" i="2"/>
  <c r="J26" i="2"/>
  <c r="L24" i="2"/>
  <c r="K24" i="2"/>
  <c r="J24" i="2"/>
  <c r="L20" i="2"/>
  <c r="K20" i="2"/>
  <c r="J20" i="2"/>
  <c r="L18" i="2"/>
  <c r="K18" i="2"/>
  <c r="J18" i="2"/>
  <c r="L16" i="2"/>
  <c r="M16" i="2" s="1"/>
  <c r="N16" i="2" s="1"/>
  <c r="K16" i="2"/>
  <c r="J16" i="2"/>
  <c r="M20" i="2" l="1"/>
  <c r="M40" i="2"/>
  <c r="M508" i="2"/>
  <c r="M18" i="2"/>
  <c r="N18" i="2" s="1"/>
  <c r="O18" i="2" s="1"/>
  <c r="M1358" i="2"/>
  <c r="N1358" i="2" s="1"/>
  <c r="O1358" i="2" s="1"/>
  <c r="M261" i="2"/>
  <c r="M416" i="2"/>
  <c r="M702" i="2"/>
  <c r="M610" i="2"/>
  <c r="N610" i="2" s="1"/>
  <c r="O610" i="2" s="1"/>
  <c r="M342" i="2"/>
  <c r="N342" i="2" s="1"/>
  <c r="O342" i="2" s="1"/>
  <c r="M24" i="2"/>
  <c r="J212" i="2"/>
  <c r="N1392" i="2"/>
  <c r="O1392" i="2" s="1"/>
  <c r="O622" i="2"/>
  <c r="N622" i="2"/>
  <c r="N508" i="2"/>
  <c r="O508" i="2" s="1"/>
  <c r="N416" i="2"/>
  <c r="O416" i="2" s="1"/>
  <c r="N346" i="2"/>
  <c r="O346" i="2" s="1"/>
  <c r="N261" i="2"/>
  <c r="O261" i="2" s="1"/>
  <c r="N40" i="2"/>
  <c r="O40" i="2" s="1"/>
  <c r="N26" i="2"/>
  <c r="O26" i="2" s="1"/>
  <c r="N24" i="2"/>
  <c r="O20" i="2"/>
  <c r="N20" i="2"/>
  <c r="O24" i="2" l="1"/>
  <c r="N702" i="2"/>
  <c r="O702" i="2" s="1"/>
  <c r="B32" i="1"/>
  <c r="B31" i="1"/>
  <c r="B30" i="1"/>
  <c r="P5" i="8"/>
  <c r="P4" i="8"/>
  <c r="B1154" i="8"/>
  <c r="B1153" i="8"/>
  <c r="B1152" i="8"/>
  <c r="J1146" i="8"/>
  <c r="J1145" i="8"/>
  <c r="I1144" i="8"/>
  <c r="L1144" i="8" s="1"/>
  <c r="J1143" i="8"/>
  <c r="J1142" i="8"/>
  <c r="I1141" i="8"/>
  <c r="I1140" i="8" s="1"/>
  <c r="L1140" i="8" s="1"/>
  <c r="J1139" i="8"/>
  <c r="J1138" i="8"/>
  <c r="I1137" i="8"/>
  <c r="I1136" i="8" s="1"/>
  <c r="L1136" i="8" s="1"/>
  <c r="J1135" i="8"/>
  <c r="J1134" i="8"/>
  <c r="I1133" i="8"/>
  <c r="I1132" i="8" s="1"/>
  <c r="L1132" i="8" s="1"/>
  <c r="J1131" i="8"/>
  <c r="J1130" i="8"/>
  <c r="I1129" i="8"/>
  <c r="I1128" i="8" s="1"/>
  <c r="L1128" i="8" s="1"/>
  <c r="J1127" i="8"/>
  <c r="J1126" i="8"/>
  <c r="I1125" i="8"/>
  <c r="I1124" i="8" s="1"/>
  <c r="L1124" i="8" s="1"/>
  <c r="J1123" i="8"/>
  <c r="J1122" i="8"/>
  <c r="I1121" i="8"/>
  <c r="I1120" i="8" s="1"/>
  <c r="L1120" i="8" s="1"/>
  <c r="J1119" i="8"/>
  <c r="J1118" i="8"/>
  <c r="I1117" i="8"/>
  <c r="I1116" i="8" s="1"/>
  <c r="L1116" i="8" s="1"/>
  <c r="J1115" i="8"/>
  <c r="J1114" i="8"/>
  <c r="I1113" i="8"/>
  <c r="I1112" i="8" s="1"/>
  <c r="L1112" i="8" s="1"/>
  <c r="J1111" i="8"/>
  <c r="J1110" i="8"/>
  <c r="I1109" i="8"/>
  <c r="I1108" i="8" s="1"/>
  <c r="L1108" i="8" s="1"/>
  <c r="J1107" i="8"/>
  <c r="J1106" i="8"/>
  <c r="I1105" i="8"/>
  <c r="I1104" i="8" s="1"/>
  <c r="L1104" i="8" s="1"/>
  <c r="J1103" i="8"/>
  <c r="J1102" i="8"/>
  <c r="I1101" i="8"/>
  <c r="I1100" i="8" s="1"/>
  <c r="L1100" i="8" s="1"/>
  <c r="J1099" i="8"/>
  <c r="J1098" i="8"/>
  <c r="I1097" i="8"/>
  <c r="I1096" i="8" s="1"/>
  <c r="L1096" i="8" s="1"/>
  <c r="J1092" i="8"/>
  <c r="J1091" i="8"/>
  <c r="I1090" i="8"/>
  <c r="I1089" i="8"/>
  <c r="J1087" i="8"/>
  <c r="J1085" i="8" s="1"/>
  <c r="M1085" i="8" s="1"/>
  <c r="I1086" i="8"/>
  <c r="I1085" i="8" s="1"/>
  <c r="L1085" i="8" s="1"/>
  <c r="J1084" i="8"/>
  <c r="J1083" i="8"/>
  <c r="I1082" i="8"/>
  <c r="I1081" i="8" s="1"/>
  <c r="L1081" i="8" s="1"/>
  <c r="J1077" i="8"/>
  <c r="M1077" i="8" s="1"/>
  <c r="N1077" i="8" s="1"/>
  <c r="J1073" i="8"/>
  <c r="J1072" i="8"/>
  <c r="J1070" i="8" s="1"/>
  <c r="M1070" i="8" s="1"/>
  <c r="I1071" i="8"/>
  <c r="I1070" i="8" s="1"/>
  <c r="L1070" i="8" s="1"/>
  <c r="J1069" i="8"/>
  <c r="J1067" i="8" s="1"/>
  <c r="M1067" i="8" s="1"/>
  <c r="I1068" i="8"/>
  <c r="I1067" i="8" s="1"/>
  <c r="L1067" i="8" s="1"/>
  <c r="J1066" i="8"/>
  <c r="J1064" i="8" s="1"/>
  <c r="M1064" i="8" s="1"/>
  <c r="I1065" i="8"/>
  <c r="I1064" i="8" s="1"/>
  <c r="L1064" i="8" s="1"/>
  <c r="J1063" i="8"/>
  <c r="J1061" i="8" s="1"/>
  <c r="M1061" i="8" s="1"/>
  <c r="I1062" i="8"/>
  <c r="I1061" i="8" s="1"/>
  <c r="L1061" i="8" s="1"/>
  <c r="J1060" i="8"/>
  <c r="J1058" i="8" s="1"/>
  <c r="M1058" i="8" s="1"/>
  <c r="I1059" i="8"/>
  <c r="I1058" i="8" s="1"/>
  <c r="L1058" i="8" s="1"/>
  <c r="J1057" i="8"/>
  <c r="J1055" i="8" s="1"/>
  <c r="M1055" i="8" s="1"/>
  <c r="I1056" i="8"/>
  <c r="I1055" i="8" s="1"/>
  <c r="L1055" i="8" s="1"/>
  <c r="J1054" i="8"/>
  <c r="J1052" i="8" s="1"/>
  <c r="M1052" i="8" s="1"/>
  <c r="I1053" i="8"/>
  <c r="I1052" i="8" s="1"/>
  <c r="L1052" i="8" s="1"/>
  <c r="J1051" i="8"/>
  <c r="J1049" i="8" s="1"/>
  <c r="M1049" i="8" s="1"/>
  <c r="I1050" i="8"/>
  <c r="I1049" i="8" s="1"/>
  <c r="L1049" i="8" s="1"/>
  <c r="J1048" i="8"/>
  <c r="J1047" i="8"/>
  <c r="I1046" i="8"/>
  <c r="I1045" i="8" s="1"/>
  <c r="L1045" i="8" s="1"/>
  <c r="J1041" i="8"/>
  <c r="J1040" i="8"/>
  <c r="I1039" i="8"/>
  <c r="I1038" i="8"/>
  <c r="I1035" i="8"/>
  <c r="I1033" i="8"/>
  <c r="L1033" i="8" s="1"/>
  <c r="N1033" i="8" s="1"/>
  <c r="I1031" i="8"/>
  <c r="L1031" i="8" s="1"/>
  <c r="N1031" i="8" s="1"/>
  <c r="J1029" i="8"/>
  <c r="M1029" i="8" s="1"/>
  <c r="N1029" i="8" s="1"/>
  <c r="J1027" i="8"/>
  <c r="J1026" i="8"/>
  <c r="I1025" i="8"/>
  <c r="I1024" i="8" s="1"/>
  <c r="L1024" i="8" s="1"/>
  <c r="J1023" i="8"/>
  <c r="J1022" i="8"/>
  <c r="I1020" i="8"/>
  <c r="I1019" i="8" s="1"/>
  <c r="L1019" i="8" s="1"/>
  <c r="J1018" i="8"/>
  <c r="J1017" i="8"/>
  <c r="I1016" i="8"/>
  <c r="I1015" i="8" s="1"/>
  <c r="L1015" i="8" s="1"/>
  <c r="J1014" i="8"/>
  <c r="J1013" i="8"/>
  <c r="I1012" i="8"/>
  <c r="L1012" i="8" s="1"/>
  <c r="J1011" i="8"/>
  <c r="J1010" i="8"/>
  <c r="I1009" i="8"/>
  <c r="I1008" i="8" s="1"/>
  <c r="L1008" i="8" s="1"/>
  <c r="J1007" i="8"/>
  <c r="J1006" i="8"/>
  <c r="I1005" i="8"/>
  <c r="I1004" i="8" s="1"/>
  <c r="L1004" i="8" s="1"/>
  <c r="J1003" i="8"/>
  <c r="J1002" i="8"/>
  <c r="I1001" i="8"/>
  <c r="I1000" i="8" s="1"/>
  <c r="L1000" i="8" s="1"/>
  <c r="J999" i="8"/>
  <c r="J998" i="8"/>
  <c r="I997" i="8"/>
  <c r="I996" i="8" s="1"/>
  <c r="L996" i="8" s="1"/>
  <c r="J992" i="8"/>
  <c r="J991" i="8"/>
  <c r="I990" i="8"/>
  <c r="I989" i="8" s="1"/>
  <c r="L989" i="8" s="1"/>
  <c r="J988" i="8"/>
  <c r="J987" i="8"/>
  <c r="I986" i="8"/>
  <c r="I985" i="8" s="1"/>
  <c r="L985" i="8" s="1"/>
  <c r="J984" i="8"/>
  <c r="J983" i="8"/>
  <c r="I982" i="8"/>
  <c r="I981" i="8" s="1"/>
  <c r="L981" i="8" s="1"/>
  <c r="J980" i="8"/>
  <c r="J979" i="8"/>
  <c r="I978" i="8"/>
  <c r="I977" i="8" s="1"/>
  <c r="L977" i="8" s="1"/>
  <c r="J976" i="8"/>
  <c r="J975" i="8"/>
  <c r="I974" i="8"/>
  <c r="I973" i="8" s="1"/>
  <c r="L973" i="8" s="1"/>
  <c r="J969" i="8"/>
  <c r="J968" i="8"/>
  <c r="I967" i="8"/>
  <c r="I966" i="8" s="1"/>
  <c r="L966" i="8" s="1"/>
  <c r="J965" i="8"/>
  <c r="J964" i="8"/>
  <c r="I963" i="8"/>
  <c r="I962" i="8" s="1"/>
  <c r="L962" i="8" s="1"/>
  <c r="J961" i="8"/>
  <c r="J960" i="8"/>
  <c r="I959" i="8"/>
  <c r="I958" i="8" s="1"/>
  <c r="L958" i="8" s="1"/>
  <c r="J957" i="8"/>
  <c r="J956" i="8"/>
  <c r="I955" i="8"/>
  <c r="I954" i="8" s="1"/>
  <c r="L954" i="8" s="1"/>
  <c r="J953" i="8"/>
  <c r="J952" i="8"/>
  <c r="I951" i="8"/>
  <c r="I950" i="8" s="1"/>
  <c r="L950" i="8" s="1"/>
  <c r="J949" i="8"/>
  <c r="J948" i="8"/>
  <c r="I947" i="8"/>
  <c r="I946" i="8" s="1"/>
  <c r="L946" i="8" s="1"/>
  <c r="J945" i="8"/>
  <c r="J944" i="8"/>
  <c r="I943" i="8"/>
  <c r="I942" i="8" s="1"/>
  <c r="L942" i="8" s="1"/>
  <c r="J941" i="8"/>
  <c r="J940" i="8"/>
  <c r="I939" i="8"/>
  <c r="I938" i="8" s="1"/>
  <c r="L938" i="8" s="1"/>
  <c r="J937" i="8"/>
  <c r="J936" i="8"/>
  <c r="I935" i="8"/>
  <c r="I934" i="8" s="1"/>
  <c r="L934" i="8" s="1"/>
  <c r="J933" i="8"/>
  <c r="K933" i="8" s="1"/>
  <c r="J932" i="8"/>
  <c r="K932" i="8" s="1"/>
  <c r="I931" i="8"/>
  <c r="K931" i="8" s="1"/>
  <c r="J929" i="8"/>
  <c r="K929" i="8" s="1"/>
  <c r="J928" i="8"/>
  <c r="K928" i="8" s="1"/>
  <c r="I927" i="8"/>
  <c r="K927" i="8" s="1"/>
  <c r="J925" i="8"/>
  <c r="K925" i="8" s="1"/>
  <c r="J924" i="8"/>
  <c r="I923" i="8"/>
  <c r="K923" i="8" s="1"/>
  <c r="J921" i="8"/>
  <c r="J920" i="8"/>
  <c r="K920" i="8" s="1"/>
  <c r="I919" i="8"/>
  <c r="I918" i="8" s="1"/>
  <c r="L918" i="8" s="1"/>
  <c r="J917" i="8"/>
  <c r="J916" i="8"/>
  <c r="I915" i="8"/>
  <c r="I914" i="8" s="1"/>
  <c r="L914" i="8" s="1"/>
  <c r="J913" i="8"/>
  <c r="J912" i="8"/>
  <c r="I911" i="8"/>
  <c r="I910" i="8" s="1"/>
  <c r="L910" i="8" s="1"/>
  <c r="J909" i="8"/>
  <c r="J908" i="8"/>
  <c r="I907" i="8"/>
  <c r="I906" i="8" s="1"/>
  <c r="L906" i="8" s="1"/>
  <c r="J905" i="8"/>
  <c r="J904" i="8"/>
  <c r="I903" i="8"/>
  <c r="I902" i="8" s="1"/>
  <c r="L902" i="8" s="1"/>
  <c r="J898" i="8"/>
  <c r="J897" i="8"/>
  <c r="I896" i="8"/>
  <c r="L896" i="8" s="1"/>
  <c r="I894" i="8"/>
  <c r="J888" i="8"/>
  <c r="K888" i="8" s="1"/>
  <c r="J887" i="8"/>
  <c r="K887" i="8" s="1"/>
  <c r="I886" i="8"/>
  <c r="K886" i="8" s="1"/>
  <c r="I885" i="8"/>
  <c r="K885" i="8" s="1"/>
  <c r="I884" i="8"/>
  <c r="K884" i="8" s="1"/>
  <c r="I883" i="8"/>
  <c r="K883" i="8" s="1"/>
  <c r="I882" i="8"/>
  <c r="K882" i="8" s="1"/>
  <c r="I881" i="8"/>
  <c r="K881" i="8" s="1"/>
  <c r="I880" i="8"/>
  <c r="K880" i="8" s="1"/>
  <c r="I879" i="8"/>
  <c r="K879" i="8" s="1"/>
  <c r="I878" i="8"/>
  <c r="K878" i="8" s="1"/>
  <c r="I877" i="8"/>
  <c r="K877" i="8" s="1"/>
  <c r="J872" i="8"/>
  <c r="K872" i="8" s="1"/>
  <c r="J871" i="8"/>
  <c r="I870" i="8"/>
  <c r="K870" i="8" s="1"/>
  <c r="J868" i="8"/>
  <c r="K868" i="8" s="1"/>
  <c r="J867" i="8"/>
  <c r="K867" i="8" s="1"/>
  <c r="I866" i="8"/>
  <c r="K866" i="8" s="1"/>
  <c r="J864" i="8"/>
  <c r="K864" i="8" s="1"/>
  <c r="J863" i="8"/>
  <c r="I862" i="8"/>
  <c r="K862" i="8" s="1"/>
  <c r="J860" i="8"/>
  <c r="K860" i="8" s="1"/>
  <c r="J859" i="8"/>
  <c r="K859" i="8" s="1"/>
  <c r="I858" i="8"/>
  <c r="K858" i="8" s="1"/>
  <c r="J853" i="8"/>
  <c r="K853" i="8" s="1"/>
  <c r="J852" i="8"/>
  <c r="K852" i="8" s="1"/>
  <c r="I851" i="8"/>
  <c r="K851" i="8" s="1"/>
  <c r="J849" i="8"/>
  <c r="K849" i="8" s="1"/>
  <c r="J848" i="8"/>
  <c r="K848" i="8" s="1"/>
  <c r="I847" i="8"/>
  <c r="K847" i="8" s="1"/>
  <c r="J845" i="8"/>
  <c r="K845" i="8" s="1"/>
  <c r="J844" i="8"/>
  <c r="K844" i="8" s="1"/>
  <c r="I843" i="8"/>
  <c r="K843" i="8" s="1"/>
  <c r="J841" i="8"/>
  <c r="K841" i="8" s="1"/>
  <c r="J840" i="8"/>
  <c r="K840" i="8" s="1"/>
  <c r="I839" i="8"/>
  <c r="K839" i="8" s="1"/>
  <c r="J837" i="8"/>
  <c r="K837" i="8" s="1"/>
  <c r="J836" i="8"/>
  <c r="K836" i="8" s="1"/>
  <c r="I835" i="8"/>
  <c r="K835" i="8" s="1"/>
  <c r="J833" i="8"/>
  <c r="K833" i="8" s="1"/>
  <c r="J832" i="8"/>
  <c r="K832" i="8" s="1"/>
  <c r="I831" i="8"/>
  <c r="K831" i="8" s="1"/>
  <c r="J829" i="8"/>
  <c r="K829" i="8" s="1"/>
  <c r="J828" i="8"/>
  <c r="K828" i="8" s="1"/>
  <c r="J827" i="8"/>
  <c r="I827" i="8"/>
  <c r="I826" i="8"/>
  <c r="K826" i="8" s="1"/>
  <c r="H825" i="8"/>
  <c r="J819" i="8"/>
  <c r="J818" i="8"/>
  <c r="K818" i="8" s="1"/>
  <c r="I817" i="8"/>
  <c r="K817" i="8" s="1"/>
  <c r="J815" i="8"/>
  <c r="K815" i="8" s="1"/>
  <c r="J814" i="8"/>
  <c r="K814" i="8" s="1"/>
  <c r="I813" i="8"/>
  <c r="K813" i="8" s="1"/>
  <c r="I812" i="8"/>
  <c r="I811" i="8"/>
  <c r="K811" i="8" s="1"/>
  <c r="J809" i="8"/>
  <c r="J808" i="8"/>
  <c r="K808" i="8" s="1"/>
  <c r="I807" i="8"/>
  <c r="K807" i="8" s="1"/>
  <c r="I806" i="8"/>
  <c r="K806" i="8" s="1"/>
  <c r="I805" i="8"/>
  <c r="K805" i="8" s="1"/>
  <c r="I804" i="8"/>
  <c r="K804" i="8" s="1"/>
  <c r="I803" i="8"/>
  <c r="K803" i="8" s="1"/>
  <c r="J801" i="8"/>
  <c r="K801" i="8" s="1"/>
  <c r="J800" i="8"/>
  <c r="K800" i="8" s="1"/>
  <c r="I799" i="8"/>
  <c r="K799" i="8" s="1"/>
  <c r="I798" i="8"/>
  <c r="I797" i="8"/>
  <c r="K797" i="8" s="1"/>
  <c r="J795" i="8"/>
  <c r="K795" i="8" s="1"/>
  <c r="J794" i="8"/>
  <c r="K794" i="8" s="1"/>
  <c r="I793" i="8"/>
  <c r="K793" i="8" s="1"/>
  <c r="I792" i="8"/>
  <c r="K792" i="8" s="1"/>
  <c r="I791" i="8"/>
  <c r="I790" i="8"/>
  <c r="K790" i="8" s="1"/>
  <c r="J788" i="8"/>
  <c r="K788" i="8" s="1"/>
  <c r="J787" i="8"/>
  <c r="K787" i="8" s="1"/>
  <c r="I786" i="8"/>
  <c r="K786" i="8" s="1"/>
  <c r="I785" i="8"/>
  <c r="K785" i="8" s="1"/>
  <c r="I784" i="8"/>
  <c r="K784" i="8" s="1"/>
  <c r="I783" i="8"/>
  <c r="K783" i="8" s="1"/>
  <c r="I782" i="8"/>
  <c r="K782" i="8" s="1"/>
  <c r="I781" i="8"/>
  <c r="K781" i="8" s="1"/>
  <c r="J779" i="8"/>
  <c r="K779" i="8" s="1"/>
  <c r="J778" i="8"/>
  <c r="K778" i="8" s="1"/>
  <c r="I777" i="8"/>
  <c r="K777" i="8" s="1"/>
  <c r="I776" i="8"/>
  <c r="K776" i="8" s="1"/>
  <c r="I775" i="8"/>
  <c r="K775" i="8" s="1"/>
  <c r="I774" i="8"/>
  <c r="K774" i="8" s="1"/>
  <c r="J772" i="8"/>
  <c r="K772" i="8" s="1"/>
  <c r="J771" i="8"/>
  <c r="I770" i="8"/>
  <c r="K770" i="8" s="1"/>
  <c r="I769" i="8"/>
  <c r="K769" i="8" s="1"/>
  <c r="I768" i="8"/>
  <c r="K768" i="8" s="1"/>
  <c r="I767" i="8"/>
  <c r="K767" i="8" s="1"/>
  <c r="I766" i="8"/>
  <c r="K766" i="8" s="1"/>
  <c r="I765" i="8"/>
  <c r="K765" i="8" s="1"/>
  <c r="I764" i="8"/>
  <c r="K764" i="8" s="1"/>
  <c r="I763" i="8"/>
  <c r="K763" i="8" s="1"/>
  <c r="I762" i="8"/>
  <c r="K762" i="8" s="1"/>
  <c r="I761" i="8"/>
  <c r="K761" i="8" s="1"/>
  <c r="J759" i="8"/>
  <c r="K759" i="8" s="1"/>
  <c r="J758" i="8"/>
  <c r="K758" i="8" s="1"/>
  <c r="I757" i="8"/>
  <c r="K757" i="8" s="1"/>
  <c r="I756" i="8"/>
  <c r="K756" i="8" s="1"/>
  <c r="I755" i="8"/>
  <c r="K755" i="8" s="1"/>
  <c r="I754" i="8"/>
  <c r="K754" i="8" s="1"/>
  <c r="I753" i="8"/>
  <c r="K753" i="8" s="1"/>
  <c r="J751" i="8"/>
  <c r="K751" i="8" s="1"/>
  <c r="J750" i="8"/>
  <c r="K750" i="8" s="1"/>
  <c r="I749" i="8"/>
  <c r="K749" i="8" s="1"/>
  <c r="I748" i="8"/>
  <c r="K748" i="8" s="1"/>
  <c r="I747" i="8"/>
  <c r="K747" i="8" s="1"/>
  <c r="I746" i="8"/>
  <c r="K746" i="8" s="1"/>
  <c r="I745" i="8"/>
  <c r="K745" i="8" s="1"/>
  <c r="I744" i="8"/>
  <c r="K744" i="8" s="1"/>
  <c r="I743" i="8"/>
  <c r="K743" i="8" s="1"/>
  <c r="J741" i="8"/>
  <c r="K741" i="8" s="1"/>
  <c r="J740" i="8"/>
  <c r="K740" i="8" s="1"/>
  <c r="I739" i="8"/>
  <c r="K739" i="8" s="1"/>
  <c r="I738" i="8"/>
  <c r="K738" i="8" s="1"/>
  <c r="I737" i="8"/>
  <c r="K737" i="8" s="1"/>
  <c r="I736" i="8"/>
  <c r="K736" i="8" s="1"/>
  <c r="I735" i="8"/>
  <c r="K735" i="8" s="1"/>
  <c r="I734" i="8"/>
  <c r="K734" i="8" s="1"/>
  <c r="I733" i="8"/>
  <c r="K733" i="8" s="1"/>
  <c r="I732" i="8"/>
  <c r="K732" i="8" s="1"/>
  <c r="I731" i="8"/>
  <c r="K731" i="8" s="1"/>
  <c r="I730" i="8"/>
  <c r="K730" i="8" s="1"/>
  <c r="I729" i="8"/>
  <c r="K729" i="8" s="1"/>
  <c r="I728" i="8"/>
  <c r="K728" i="8" s="1"/>
  <c r="I727" i="8"/>
  <c r="K727" i="8" s="1"/>
  <c r="I726" i="8"/>
  <c r="K726" i="8" s="1"/>
  <c r="F725" i="8"/>
  <c r="I725" i="8" s="1"/>
  <c r="I724" i="8"/>
  <c r="K724" i="8" s="1"/>
  <c r="J719" i="8"/>
  <c r="K719" i="8" s="1"/>
  <c r="J718" i="8"/>
  <c r="K718" i="8" s="1"/>
  <c r="I717" i="8"/>
  <c r="J715" i="8"/>
  <c r="K715" i="8" s="1"/>
  <c r="J714" i="8"/>
  <c r="K714" i="8" s="1"/>
  <c r="I713" i="8"/>
  <c r="I712" i="8" s="1"/>
  <c r="L712" i="8" s="1"/>
  <c r="J711" i="8"/>
  <c r="J710" i="8"/>
  <c r="K710" i="8" s="1"/>
  <c r="I709" i="8"/>
  <c r="I708" i="8"/>
  <c r="K708" i="8" s="1"/>
  <c r="J706" i="8"/>
  <c r="K706" i="8" s="1"/>
  <c r="J705" i="8"/>
  <c r="K705" i="8" s="1"/>
  <c r="I704" i="8"/>
  <c r="K704" i="8" s="1"/>
  <c r="I703" i="8"/>
  <c r="K703" i="8" s="1"/>
  <c r="I702" i="8"/>
  <c r="K702" i="8" s="1"/>
  <c r="I701" i="8"/>
  <c r="K701" i="8" s="1"/>
  <c r="I700" i="8"/>
  <c r="K700" i="8" s="1"/>
  <c r="J698" i="8"/>
  <c r="K698" i="8" s="1"/>
  <c r="J697" i="8"/>
  <c r="K697" i="8" s="1"/>
  <c r="I696" i="8"/>
  <c r="K696" i="8" s="1"/>
  <c r="I695" i="8"/>
  <c r="K695" i="8" s="1"/>
  <c r="I694" i="8"/>
  <c r="K694" i="8" s="1"/>
  <c r="I693" i="8"/>
  <c r="I692" i="8"/>
  <c r="K692" i="8" s="1"/>
  <c r="J690" i="8"/>
  <c r="K690" i="8" s="1"/>
  <c r="J689" i="8"/>
  <c r="K689" i="8" s="1"/>
  <c r="I688" i="8"/>
  <c r="K688" i="8" s="1"/>
  <c r="I687" i="8"/>
  <c r="K687" i="8" s="1"/>
  <c r="I686" i="8"/>
  <c r="K686" i="8" s="1"/>
  <c r="I685" i="8"/>
  <c r="K685" i="8" s="1"/>
  <c r="I684" i="8"/>
  <c r="K684" i="8" s="1"/>
  <c r="J682" i="8"/>
  <c r="K682" i="8" s="1"/>
  <c r="J681" i="8"/>
  <c r="K681" i="8" s="1"/>
  <c r="I680" i="8"/>
  <c r="K680" i="8" s="1"/>
  <c r="I679" i="8"/>
  <c r="K679" i="8" s="1"/>
  <c r="I678" i="8"/>
  <c r="K678" i="8" s="1"/>
  <c r="I677" i="8"/>
  <c r="I676" i="8"/>
  <c r="K676" i="8" s="1"/>
  <c r="J674" i="8"/>
  <c r="K674" i="8" s="1"/>
  <c r="J673" i="8"/>
  <c r="K673" i="8" s="1"/>
  <c r="I672" i="8"/>
  <c r="K672" i="8" s="1"/>
  <c r="I671" i="8"/>
  <c r="K671" i="8" s="1"/>
  <c r="I670" i="8"/>
  <c r="K670" i="8" s="1"/>
  <c r="I669" i="8"/>
  <c r="K669" i="8" s="1"/>
  <c r="I668" i="8"/>
  <c r="I667" i="8"/>
  <c r="K667" i="8" s="1"/>
  <c r="J665" i="8"/>
  <c r="K665" i="8" s="1"/>
  <c r="J664" i="8"/>
  <c r="K664" i="8" s="1"/>
  <c r="I663" i="8"/>
  <c r="K663" i="8" s="1"/>
  <c r="I662" i="8"/>
  <c r="K662" i="8" s="1"/>
  <c r="I661" i="8"/>
  <c r="J659" i="8"/>
  <c r="K659" i="8" s="1"/>
  <c r="J658" i="8"/>
  <c r="I657" i="8"/>
  <c r="K657" i="8" s="1"/>
  <c r="I656" i="8"/>
  <c r="I655" i="8"/>
  <c r="K655" i="8" s="1"/>
  <c r="J653" i="8"/>
  <c r="J652" i="8"/>
  <c r="K652" i="8" s="1"/>
  <c r="I651" i="8"/>
  <c r="K651" i="8" s="1"/>
  <c r="I650" i="8"/>
  <c r="K650" i="8" s="1"/>
  <c r="I649" i="8"/>
  <c r="K649" i="8" s="1"/>
  <c r="J647" i="8"/>
  <c r="K647" i="8" s="1"/>
  <c r="J646" i="8"/>
  <c r="I645" i="8"/>
  <c r="K645" i="8" s="1"/>
  <c r="I644" i="8"/>
  <c r="K644" i="8" s="1"/>
  <c r="J642" i="8"/>
  <c r="K642" i="8" s="1"/>
  <c r="J641" i="8"/>
  <c r="I640" i="8"/>
  <c r="K640" i="8" s="1"/>
  <c r="I639" i="8"/>
  <c r="K639" i="8" s="1"/>
  <c r="I638" i="8"/>
  <c r="K638" i="8" s="1"/>
  <c r="I637" i="8"/>
  <c r="K637" i="8" s="1"/>
  <c r="J635" i="8"/>
  <c r="K635" i="8" s="1"/>
  <c r="J634" i="8"/>
  <c r="I633" i="8"/>
  <c r="K633" i="8" s="1"/>
  <c r="I632" i="8"/>
  <c r="K632" i="8" s="1"/>
  <c r="J627" i="8"/>
  <c r="K627" i="8" s="1"/>
  <c r="I626" i="8"/>
  <c r="I625" i="8" s="1"/>
  <c r="L625" i="8" s="1"/>
  <c r="J624" i="8"/>
  <c r="K624" i="8" s="1"/>
  <c r="J623" i="8"/>
  <c r="K623" i="8" s="1"/>
  <c r="I622" i="8"/>
  <c r="J620" i="8"/>
  <c r="J619" i="8"/>
  <c r="K619" i="8" s="1"/>
  <c r="I618" i="8"/>
  <c r="K618" i="8" s="1"/>
  <c r="J616" i="8"/>
  <c r="K616" i="8" s="1"/>
  <c r="I615" i="8"/>
  <c r="K615" i="8" s="1"/>
  <c r="J613" i="8"/>
  <c r="J612" i="8"/>
  <c r="J610" i="8" s="1"/>
  <c r="M610" i="8" s="1"/>
  <c r="I611" i="8"/>
  <c r="I610" i="8" s="1"/>
  <c r="L610" i="8" s="1"/>
  <c r="J609" i="8"/>
  <c r="K609" i="8" s="1"/>
  <c r="J608" i="8"/>
  <c r="I607" i="8"/>
  <c r="K607" i="8" s="1"/>
  <c r="I606" i="8"/>
  <c r="I605" i="8"/>
  <c r="K605" i="8" s="1"/>
  <c r="J603" i="8"/>
  <c r="K603" i="8" s="1"/>
  <c r="J602" i="8"/>
  <c r="K602" i="8" s="1"/>
  <c r="I601" i="8"/>
  <c r="K601" i="8" s="1"/>
  <c r="I600" i="8"/>
  <c r="I599" i="8"/>
  <c r="K599" i="8" s="1"/>
  <c r="J594" i="8"/>
  <c r="J593" i="8"/>
  <c r="K593" i="8" s="1"/>
  <c r="I592" i="8"/>
  <c r="J587" i="8"/>
  <c r="K587" i="8" s="1"/>
  <c r="J586" i="8"/>
  <c r="K586" i="8" s="1"/>
  <c r="I585" i="8"/>
  <c r="K585" i="8" s="1"/>
  <c r="J583" i="8"/>
  <c r="K583" i="8" s="1"/>
  <c r="J582" i="8"/>
  <c r="K582" i="8" s="1"/>
  <c r="G581" i="8"/>
  <c r="I581" i="8" s="1"/>
  <c r="J579" i="8"/>
  <c r="K579" i="8" s="1"/>
  <c r="J578" i="8"/>
  <c r="G577" i="8"/>
  <c r="I577" i="8" s="1"/>
  <c r="K577" i="8" s="1"/>
  <c r="J575" i="8"/>
  <c r="K575" i="8" s="1"/>
  <c r="J574" i="8"/>
  <c r="K574" i="8" s="1"/>
  <c r="G573" i="8"/>
  <c r="I573" i="8" s="1"/>
  <c r="K573" i="8" s="1"/>
  <c r="J571" i="8"/>
  <c r="K571" i="8" s="1"/>
  <c r="J570" i="8"/>
  <c r="G569" i="8"/>
  <c r="I569" i="8" s="1"/>
  <c r="J567" i="8"/>
  <c r="K567" i="8" s="1"/>
  <c r="J566" i="8"/>
  <c r="K566" i="8" s="1"/>
  <c r="G565" i="8"/>
  <c r="I565" i="8" s="1"/>
  <c r="I564" i="8" s="1"/>
  <c r="L564" i="8" s="1"/>
  <c r="J563" i="8"/>
  <c r="K563" i="8" s="1"/>
  <c r="J562" i="8"/>
  <c r="K562" i="8" s="1"/>
  <c r="G561" i="8"/>
  <c r="I561" i="8" s="1"/>
  <c r="K561" i="8" s="1"/>
  <c r="J559" i="8"/>
  <c r="K559" i="8" s="1"/>
  <c r="J558" i="8"/>
  <c r="K558" i="8" s="1"/>
  <c r="G557" i="8"/>
  <c r="I557" i="8" s="1"/>
  <c r="J555" i="8"/>
  <c r="K555" i="8" s="1"/>
  <c r="J554" i="8"/>
  <c r="G553" i="8"/>
  <c r="I553" i="8" s="1"/>
  <c r="J551" i="8"/>
  <c r="K551" i="8" s="1"/>
  <c r="J550" i="8"/>
  <c r="K550" i="8" s="1"/>
  <c r="I549" i="8"/>
  <c r="I548" i="8" s="1"/>
  <c r="L548" i="8" s="1"/>
  <c r="G549" i="8"/>
  <c r="J547" i="8"/>
  <c r="K547" i="8" s="1"/>
  <c r="J546" i="8"/>
  <c r="K546" i="8" s="1"/>
  <c r="G545" i="8"/>
  <c r="I545" i="8" s="1"/>
  <c r="K545" i="8" s="1"/>
  <c r="J543" i="8"/>
  <c r="K543" i="8" s="1"/>
  <c r="J542" i="8"/>
  <c r="K542" i="8" s="1"/>
  <c r="G541" i="8"/>
  <c r="I541" i="8" s="1"/>
  <c r="J539" i="8"/>
  <c r="K539" i="8" s="1"/>
  <c r="J538" i="8"/>
  <c r="G537" i="8"/>
  <c r="I537" i="8" s="1"/>
  <c r="J535" i="8"/>
  <c r="K535" i="8" s="1"/>
  <c r="J534" i="8"/>
  <c r="K534" i="8" s="1"/>
  <c r="G533" i="8"/>
  <c r="I533" i="8" s="1"/>
  <c r="I532" i="8" s="1"/>
  <c r="L532" i="8" s="1"/>
  <c r="J531" i="8"/>
  <c r="K531" i="8" s="1"/>
  <c r="J530" i="8"/>
  <c r="K530" i="8" s="1"/>
  <c r="G529" i="8"/>
  <c r="I529" i="8" s="1"/>
  <c r="K529" i="8" s="1"/>
  <c r="J527" i="8"/>
  <c r="K527" i="8" s="1"/>
  <c r="J526" i="8"/>
  <c r="K526" i="8" s="1"/>
  <c r="G525" i="8"/>
  <c r="I525" i="8" s="1"/>
  <c r="J523" i="8"/>
  <c r="K523" i="8" s="1"/>
  <c r="J522" i="8"/>
  <c r="K522" i="8" s="1"/>
  <c r="I521" i="8"/>
  <c r="K521" i="8" s="1"/>
  <c r="J514" i="8"/>
  <c r="K514" i="8" s="1"/>
  <c r="J513" i="8"/>
  <c r="K513" i="8" s="1"/>
  <c r="I512" i="8"/>
  <c r="K512" i="8" s="1"/>
  <c r="I511" i="8"/>
  <c r="K511" i="8" s="1"/>
  <c r="J509" i="8"/>
  <c r="K509" i="8" s="1"/>
  <c r="J508" i="8"/>
  <c r="K508" i="8" s="1"/>
  <c r="I507" i="8"/>
  <c r="K507" i="8" s="1"/>
  <c r="I506" i="8"/>
  <c r="K506" i="8" s="1"/>
  <c r="J504" i="8"/>
  <c r="K504" i="8" s="1"/>
  <c r="J503" i="8"/>
  <c r="K503" i="8" s="1"/>
  <c r="I502" i="8"/>
  <c r="K502" i="8" s="1"/>
  <c r="I501" i="8"/>
  <c r="K501" i="8" s="1"/>
  <c r="H500" i="8"/>
  <c r="J499" i="8"/>
  <c r="K499" i="8" s="1"/>
  <c r="J498" i="8"/>
  <c r="K498" i="8" s="1"/>
  <c r="I497" i="8"/>
  <c r="K497" i="8" s="1"/>
  <c r="I496" i="8"/>
  <c r="K496" i="8" s="1"/>
  <c r="J494" i="8"/>
  <c r="K494" i="8" s="1"/>
  <c r="J493" i="8"/>
  <c r="K493" i="8" s="1"/>
  <c r="I492" i="8"/>
  <c r="K492" i="8" s="1"/>
  <c r="I491" i="8"/>
  <c r="K491" i="8" s="1"/>
  <c r="J489" i="8"/>
  <c r="K489" i="8" s="1"/>
  <c r="J488" i="8"/>
  <c r="K488" i="8" s="1"/>
  <c r="I487" i="8"/>
  <c r="K487" i="8" s="1"/>
  <c r="I486" i="8"/>
  <c r="K486" i="8" s="1"/>
  <c r="J484" i="8"/>
  <c r="K484" i="8" s="1"/>
  <c r="J483" i="8"/>
  <c r="K483" i="8" s="1"/>
  <c r="I482" i="8"/>
  <c r="K482" i="8" s="1"/>
  <c r="I481" i="8"/>
  <c r="K481" i="8" s="1"/>
  <c r="J479" i="8"/>
  <c r="K479" i="8" s="1"/>
  <c r="J478" i="8"/>
  <c r="K478" i="8" s="1"/>
  <c r="K477" i="8"/>
  <c r="I477" i="8"/>
  <c r="I476" i="8"/>
  <c r="K476" i="8" s="1"/>
  <c r="J474" i="8"/>
  <c r="K474" i="8" s="1"/>
  <c r="J473" i="8"/>
  <c r="K473" i="8" s="1"/>
  <c r="I472" i="8"/>
  <c r="K472" i="8" s="1"/>
  <c r="I471" i="8"/>
  <c r="K471" i="8" s="1"/>
  <c r="J469" i="8"/>
  <c r="K469" i="8" s="1"/>
  <c r="J468" i="8"/>
  <c r="K468" i="8" s="1"/>
  <c r="I467" i="8"/>
  <c r="K467" i="8" s="1"/>
  <c r="I466" i="8"/>
  <c r="K466" i="8" s="1"/>
  <c r="J464" i="8"/>
  <c r="K464" i="8" s="1"/>
  <c r="J463" i="8"/>
  <c r="K463" i="8" s="1"/>
  <c r="I462" i="8"/>
  <c r="K462" i="8" s="1"/>
  <c r="I461" i="8"/>
  <c r="K461" i="8" s="1"/>
  <c r="J459" i="8"/>
  <c r="K459" i="8" s="1"/>
  <c r="J458" i="8"/>
  <c r="K458" i="8" s="1"/>
  <c r="I457" i="8"/>
  <c r="K457" i="8" s="1"/>
  <c r="I456" i="8"/>
  <c r="K456" i="8" s="1"/>
  <c r="J451" i="8"/>
  <c r="K451" i="8" s="1"/>
  <c r="J450" i="8"/>
  <c r="K450" i="8" s="1"/>
  <c r="I449" i="8"/>
  <c r="K449" i="8" s="1"/>
  <c r="I448" i="8"/>
  <c r="K448" i="8" s="1"/>
  <c r="I447" i="8"/>
  <c r="K447" i="8" s="1"/>
  <c r="I446" i="8"/>
  <c r="I445" i="8"/>
  <c r="K445" i="8" s="1"/>
  <c r="J443" i="8"/>
  <c r="K443" i="8" s="1"/>
  <c r="J442" i="8"/>
  <c r="I441" i="8"/>
  <c r="K441" i="8" s="1"/>
  <c r="I440" i="8"/>
  <c r="K440" i="8" s="1"/>
  <c r="I439" i="8"/>
  <c r="K439" i="8" s="1"/>
  <c r="I438" i="8"/>
  <c r="K438" i="8" s="1"/>
  <c r="I437" i="8"/>
  <c r="K437" i="8" s="1"/>
  <c r="H436" i="8"/>
  <c r="J435" i="8"/>
  <c r="K435" i="8" s="1"/>
  <c r="J434" i="8"/>
  <c r="K434" i="8" s="1"/>
  <c r="I433" i="8"/>
  <c r="K433" i="8" s="1"/>
  <c r="I432" i="8"/>
  <c r="K432" i="8" s="1"/>
  <c r="I431" i="8"/>
  <c r="K431" i="8" s="1"/>
  <c r="I430" i="8"/>
  <c r="K430" i="8" s="1"/>
  <c r="I429" i="8"/>
  <c r="K429" i="8" s="1"/>
  <c r="J427" i="8"/>
  <c r="K427" i="8" s="1"/>
  <c r="J426" i="8"/>
  <c r="K426" i="8" s="1"/>
  <c r="I425" i="8"/>
  <c r="K425" i="8" s="1"/>
  <c r="I424" i="8"/>
  <c r="K424" i="8" s="1"/>
  <c r="I423" i="8"/>
  <c r="K423" i="8" s="1"/>
  <c r="I422" i="8"/>
  <c r="I421" i="8"/>
  <c r="K421" i="8" s="1"/>
  <c r="J419" i="8"/>
  <c r="K419" i="8" s="1"/>
  <c r="J418" i="8"/>
  <c r="K418" i="8" s="1"/>
  <c r="I417" i="8"/>
  <c r="K417" i="8" s="1"/>
  <c r="I416" i="8"/>
  <c r="K416" i="8" s="1"/>
  <c r="I415" i="8"/>
  <c r="K415" i="8" s="1"/>
  <c r="I414" i="8"/>
  <c r="K414" i="8" s="1"/>
  <c r="I413" i="8"/>
  <c r="K413" i="8" s="1"/>
  <c r="J411" i="8"/>
  <c r="K411" i="8" s="1"/>
  <c r="J410" i="8"/>
  <c r="K410" i="8" s="1"/>
  <c r="I409" i="8"/>
  <c r="K409" i="8" s="1"/>
  <c r="I408" i="8"/>
  <c r="K408" i="8" s="1"/>
  <c r="I407" i="8"/>
  <c r="K407" i="8" s="1"/>
  <c r="I406" i="8"/>
  <c r="I405" i="8"/>
  <c r="K405" i="8" s="1"/>
  <c r="J403" i="8"/>
  <c r="K403" i="8" s="1"/>
  <c r="J402" i="8"/>
  <c r="K402" i="8" s="1"/>
  <c r="I401" i="8"/>
  <c r="K401" i="8" s="1"/>
  <c r="I400" i="8"/>
  <c r="K400" i="8" s="1"/>
  <c r="I399" i="8"/>
  <c r="K399" i="8" s="1"/>
  <c r="I398" i="8"/>
  <c r="K398" i="8" s="1"/>
  <c r="I397" i="8"/>
  <c r="K397" i="8" s="1"/>
  <c r="J395" i="8"/>
  <c r="K395" i="8" s="1"/>
  <c r="J394" i="8"/>
  <c r="I393" i="8"/>
  <c r="K393" i="8" s="1"/>
  <c r="I392" i="8"/>
  <c r="K392" i="8" s="1"/>
  <c r="I391" i="8"/>
  <c r="K391" i="8" s="1"/>
  <c r="I390" i="8"/>
  <c r="I389" i="8"/>
  <c r="K389" i="8" s="1"/>
  <c r="H388" i="8"/>
  <c r="J387" i="8"/>
  <c r="K387" i="8" s="1"/>
  <c r="J386" i="8"/>
  <c r="K386" i="8" s="1"/>
  <c r="I385" i="8"/>
  <c r="K385" i="8" s="1"/>
  <c r="I384" i="8"/>
  <c r="K384" i="8" s="1"/>
  <c r="I383" i="8"/>
  <c r="K383" i="8" s="1"/>
  <c r="I382" i="8"/>
  <c r="K382" i="8" s="1"/>
  <c r="I381" i="8"/>
  <c r="K381" i="8" s="1"/>
  <c r="H380" i="8"/>
  <c r="J379" i="8"/>
  <c r="J378" i="8"/>
  <c r="K378" i="8" s="1"/>
  <c r="I377" i="8"/>
  <c r="K377" i="8" s="1"/>
  <c r="I376" i="8"/>
  <c r="K376" i="8" s="1"/>
  <c r="I375" i="8"/>
  <c r="K375" i="8" s="1"/>
  <c r="I374" i="8"/>
  <c r="K374" i="8" s="1"/>
  <c r="I373" i="8"/>
  <c r="K373" i="8" s="1"/>
  <c r="J371" i="8"/>
  <c r="K371" i="8" s="1"/>
  <c r="J370" i="8"/>
  <c r="I369" i="8"/>
  <c r="K369" i="8" s="1"/>
  <c r="I368" i="8"/>
  <c r="K368" i="8" s="1"/>
  <c r="I367" i="8"/>
  <c r="K367" i="8" s="1"/>
  <c r="I366" i="8"/>
  <c r="K366" i="8" s="1"/>
  <c r="I365" i="8"/>
  <c r="K365" i="8" s="1"/>
  <c r="I364" i="8"/>
  <c r="K364" i="8" s="1"/>
  <c r="J362" i="8"/>
  <c r="K362" i="8" s="1"/>
  <c r="J361" i="8"/>
  <c r="I360" i="8"/>
  <c r="K360" i="8" s="1"/>
  <c r="I359" i="8"/>
  <c r="K359" i="8" s="1"/>
  <c r="I358" i="8"/>
  <c r="K358" i="8" s="1"/>
  <c r="I357" i="8"/>
  <c r="K357" i="8" s="1"/>
  <c r="I356" i="8"/>
  <c r="K356" i="8" s="1"/>
  <c r="I355" i="8"/>
  <c r="K355" i="8" s="1"/>
  <c r="I354" i="8"/>
  <c r="K354" i="8" s="1"/>
  <c r="I353" i="8"/>
  <c r="K353" i="8" s="1"/>
  <c r="I352" i="8"/>
  <c r="K352" i="8" s="1"/>
  <c r="I351" i="8"/>
  <c r="K351" i="8" s="1"/>
  <c r="J349" i="8"/>
  <c r="K349" i="8" s="1"/>
  <c r="J348" i="8"/>
  <c r="K348" i="8" s="1"/>
  <c r="I347" i="8"/>
  <c r="K347" i="8" s="1"/>
  <c r="I346" i="8"/>
  <c r="K346" i="8" s="1"/>
  <c r="I345" i="8"/>
  <c r="K345" i="8" s="1"/>
  <c r="I344" i="8"/>
  <c r="K344" i="8" s="1"/>
  <c r="I343" i="8"/>
  <c r="K343" i="8" s="1"/>
  <c r="J342" i="8"/>
  <c r="I342" i="8"/>
  <c r="I341" i="8"/>
  <c r="I340" i="8"/>
  <c r="K340" i="8" s="1"/>
  <c r="J338" i="8"/>
  <c r="K338" i="8" s="1"/>
  <c r="J337" i="8"/>
  <c r="K337" i="8" s="1"/>
  <c r="I336" i="8"/>
  <c r="K336" i="8" s="1"/>
  <c r="I335" i="8"/>
  <c r="K335" i="8" s="1"/>
  <c r="I334" i="8"/>
  <c r="K334" i="8" s="1"/>
  <c r="I333" i="8"/>
  <c r="K333" i="8" s="1"/>
  <c r="I332" i="8"/>
  <c r="K332" i="8" s="1"/>
  <c r="I331" i="8"/>
  <c r="K331" i="8" s="1"/>
  <c r="I330" i="8"/>
  <c r="K330" i="8" s="1"/>
  <c r="I329" i="8"/>
  <c r="K329" i="8" s="1"/>
  <c r="I328" i="8"/>
  <c r="K328" i="8" s="1"/>
  <c r="I327" i="8"/>
  <c r="K327" i="8" s="1"/>
  <c r="J325" i="8"/>
  <c r="K325" i="8" s="1"/>
  <c r="J324" i="8"/>
  <c r="K324" i="8" s="1"/>
  <c r="I323" i="8"/>
  <c r="K323" i="8" s="1"/>
  <c r="I322" i="8"/>
  <c r="K322" i="8" s="1"/>
  <c r="I321" i="8"/>
  <c r="K321" i="8" s="1"/>
  <c r="I320" i="8"/>
  <c r="K320" i="8" s="1"/>
  <c r="I319" i="8"/>
  <c r="K319" i="8" s="1"/>
  <c r="J318" i="8"/>
  <c r="I318" i="8"/>
  <c r="I317" i="8"/>
  <c r="J317" i="8" s="1"/>
  <c r="I316" i="8"/>
  <c r="K316" i="8" s="1"/>
  <c r="H315" i="8"/>
  <c r="J314" i="8"/>
  <c r="K314" i="8" s="1"/>
  <c r="J313" i="8"/>
  <c r="K313" i="8" s="1"/>
  <c r="I312" i="8"/>
  <c r="K312" i="8" s="1"/>
  <c r="I311" i="8"/>
  <c r="K311" i="8" s="1"/>
  <c r="I310" i="8"/>
  <c r="K310" i="8" s="1"/>
  <c r="I309" i="8"/>
  <c r="K309" i="8" s="1"/>
  <c r="I308" i="8"/>
  <c r="K308" i="8" s="1"/>
  <c r="I307" i="8"/>
  <c r="K307" i="8" s="1"/>
  <c r="I306" i="8"/>
  <c r="K306" i="8" s="1"/>
  <c r="I305" i="8"/>
  <c r="K305" i="8" s="1"/>
  <c r="I304" i="8"/>
  <c r="I303" i="8"/>
  <c r="K303" i="8" s="1"/>
  <c r="J298" i="8"/>
  <c r="K298" i="8" s="1"/>
  <c r="J297" i="8"/>
  <c r="K297" i="8" s="1"/>
  <c r="I296" i="8"/>
  <c r="I295" i="8" s="1"/>
  <c r="L295" i="8" s="1"/>
  <c r="J294" i="8"/>
  <c r="K294" i="8" s="1"/>
  <c r="J293" i="8"/>
  <c r="I292" i="8"/>
  <c r="K292" i="8" s="1"/>
  <c r="J290" i="8"/>
  <c r="K290" i="8" s="1"/>
  <c r="J289" i="8"/>
  <c r="K289" i="8" s="1"/>
  <c r="I288" i="8"/>
  <c r="K288" i="8" s="1"/>
  <c r="J286" i="8"/>
  <c r="K286" i="8" s="1"/>
  <c r="J285" i="8"/>
  <c r="I284" i="8"/>
  <c r="K284" i="8" s="1"/>
  <c r="J282" i="8"/>
  <c r="K282" i="8" s="1"/>
  <c r="J281" i="8"/>
  <c r="K281" i="8" s="1"/>
  <c r="I280" i="8"/>
  <c r="K280" i="8" s="1"/>
  <c r="J278" i="8"/>
  <c r="K278" i="8" s="1"/>
  <c r="J277" i="8"/>
  <c r="I276" i="8"/>
  <c r="K276" i="8" s="1"/>
  <c r="J274" i="8"/>
  <c r="K274" i="8" s="1"/>
  <c r="J273" i="8"/>
  <c r="K273" i="8" s="1"/>
  <c r="I272" i="8"/>
  <c r="I271" i="8" s="1"/>
  <c r="L271" i="8" s="1"/>
  <c r="J270" i="8"/>
  <c r="K270" i="8" s="1"/>
  <c r="J269" i="8"/>
  <c r="I268" i="8"/>
  <c r="K268" i="8" s="1"/>
  <c r="J266" i="8"/>
  <c r="K266" i="8" s="1"/>
  <c r="J265" i="8"/>
  <c r="K265" i="8" s="1"/>
  <c r="I264" i="8"/>
  <c r="K264" i="8" s="1"/>
  <c r="J262" i="8"/>
  <c r="K262" i="8" s="1"/>
  <c r="J261" i="8"/>
  <c r="I260" i="8"/>
  <c r="K260" i="8" s="1"/>
  <c r="J258" i="8"/>
  <c r="K258" i="8" s="1"/>
  <c r="J257" i="8"/>
  <c r="K257" i="8" s="1"/>
  <c r="I256" i="8"/>
  <c r="K256" i="8" s="1"/>
  <c r="J254" i="8"/>
  <c r="K254" i="8" s="1"/>
  <c r="J253" i="8"/>
  <c r="I252" i="8"/>
  <c r="K252" i="8" s="1"/>
  <c r="J250" i="8"/>
  <c r="K250" i="8" s="1"/>
  <c r="J249" i="8"/>
  <c r="K249" i="8" s="1"/>
  <c r="I248" i="8"/>
  <c r="K248" i="8" s="1"/>
  <c r="J246" i="8"/>
  <c r="K246" i="8" s="1"/>
  <c r="J245" i="8"/>
  <c r="I244" i="8"/>
  <c r="K244" i="8" s="1"/>
  <c r="J242" i="8"/>
  <c r="K242" i="8" s="1"/>
  <c r="J241" i="8"/>
  <c r="K241" i="8" s="1"/>
  <c r="K240" i="8"/>
  <c r="I240" i="8"/>
  <c r="I239" i="8" s="1"/>
  <c r="L239" i="8" s="1"/>
  <c r="J233" i="8"/>
  <c r="K233" i="8" s="1"/>
  <c r="J232" i="8"/>
  <c r="K232" i="8" s="1"/>
  <c r="I231" i="8"/>
  <c r="I230" i="8"/>
  <c r="K230" i="8" s="1"/>
  <c r="J228" i="8"/>
  <c r="K228" i="8" s="1"/>
  <c r="J227" i="8"/>
  <c r="K227" i="8" s="1"/>
  <c r="I226" i="8"/>
  <c r="I225" i="8"/>
  <c r="K225" i="8" s="1"/>
  <c r="J223" i="8"/>
  <c r="K223" i="8" s="1"/>
  <c r="J222" i="8"/>
  <c r="I221" i="8"/>
  <c r="K221" i="8" s="1"/>
  <c r="J219" i="8"/>
  <c r="K219" i="8" s="1"/>
  <c r="J218" i="8"/>
  <c r="K218" i="8" s="1"/>
  <c r="I217" i="8"/>
  <c r="K217" i="8" s="1"/>
  <c r="J215" i="8"/>
  <c r="K215" i="8" s="1"/>
  <c r="J214" i="8"/>
  <c r="K214" i="8" s="1"/>
  <c r="I213" i="8"/>
  <c r="K213" i="8" s="1"/>
  <c r="I212" i="8"/>
  <c r="K212" i="8" s="1"/>
  <c r="J210" i="8"/>
  <c r="K210" i="8" s="1"/>
  <c r="J209" i="8"/>
  <c r="K209" i="8" s="1"/>
  <c r="I208" i="8"/>
  <c r="K208" i="8" s="1"/>
  <c r="J206" i="8"/>
  <c r="K206" i="8" s="1"/>
  <c r="J205" i="8"/>
  <c r="I204" i="8"/>
  <c r="K204" i="8" s="1"/>
  <c r="J199" i="8"/>
  <c r="K199" i="8" s="1"/>
  <c r="J198" i="8"/>
  <c r="K198" i="8" s="1"/>
  <c r="I197" i="8"/>
  <c r="K197" i="8" s="1"/>
  <c r="J195" i="8"/>
  <c r="K195" i="8" s="1"/>
  <c r="J194" i="8"/>
  <c r="I193" i="8"/>
  <c r="K193" i="8" s="1"/>
  <c r="J191" i="8"/>
  <c r="K191" i="8" s="1"/>
  <c r="J190" i="8"/>
  <c r="K190" i="8" s="1"/>
  <c r="I188" i="8"/>
  <c r="I187" i="8" s="1"/>
  <c r="L187" i="8" s="1"/>
  <c r="J187" i="8"/>
  <c r="M187" i="8" s="1"/>
  <c r="J186" i="8"/>
  <c r="K186" i="8" s="1"/>
  <c r="J185" i="8"/>
  <c r="K185" i="8" s="1"/>
  <c r="I184" i="8"/>
  <c r="I183" i="8" s="1"/>
  <c r="L183" i="8" s="1"/>
  <c r="J182" i="8"/>
  <c r="K182" i="8" s="1"/>
  <c r="J181" i="8"/>
  <c r="I180" i="8"/>
  <c r="K180" i="8" s="1"/>
  <c r="J171" i="8"/>
  <c r="K171" i="8" s="1"/>
  <c r="J170" i="8"/>
  <c r="K170" i="8" s="1"/>
  <c r="I169" i="8"/>
  <c r="K169" i="8" s="1"/>
  <c r="I168" i="8"/>
  <c r="K168" i="8" s="1"/>
  <c r="J166" i="8"/>
  <c r="K166" i="8" s="1"/>
  <c r="J165" i="8"/>
  <c r="K165" i="8" s="1"/>
  <c r="I164" i="8"/>
  <c r="K164" i="8" s="1"/>
  <c r="J162" i="8"/>
  <c r="J161" i="8"/>
  <c r="K161" i="8" s="1"/>
  <c r="I160" i="8"/>
  <c r="I159" i="8" s="1"/>
  <c r="L159" i="8" s="1"/>
  <c r="J158" i="8"/>
  <c r="K158" i="8" s="1"/>
  <c r="J157" i="8"/>
  <c r="K157" i="8" s="1"/>
  <c r="I156" i="8"/>
  <c r="K156" i="8" s="1"/>
  <c r="J154" i="8"/>
  <c r="K154" i="8" s="1"/>
  <c r="J153" i="8"/>
  <c r="K153" i="8" s="1"/>
  <c r="I152" i="8"/>
  <c r="K152" i="8" s="1"/>
  <c r="J150" i="8"/>
  <c r="K150" i="8" s="1"/>
  <c r="J149" i="8"/>
  <c r="K149" i="8" s="1"/>
  <c r="I148" i="8"/>
  <c r="K148" i="8" s="1"/>
  <c r="J146" i="8"/>
  <c r="K146" i="8" s="1"/>
  <c r="J145" i="8"/>
  <c r="K145" i="8" s="1"/>
  <c r="I144" i="8"/>
  <c r="K144" i="8" s="1"/>
  <c r="J142" i="8"/>
  <c r="K142" i="8" s="1"/>
  <c r="J141" i="8"/>
  <c r="I140" i="8"/>
  <c r="K140" i="8" s="1"/>
  <c r="K137" i="8"/>
  <c r="J135" i="8"/>
  <c r="K135" i="8" s="1"/>
  <c r="J134" i="8"/>
  <c r="K134" i="8" s="1"/>
  <c r="J133" i="8"/>
  <c r="K133" i="8" s="1"/>
  <c r="I132" i="8"/>
  <c r="K132" i="8" s="1"/>
  <c r="I129" i="8"/>
  <c r="I127" i="8"/>
  <c r="I126" i="8"/>
  <c r="J126" i="8" s="1"/>
  <c r="J125" i="8" s="1"/>
  <c r="M125" i="8" s="1"/>
  <c r="H125" i="8"/>
  <c r="I124" i="8"/>
  <c r="J124" i="8" s="1"/>
  <c r="J123" i="8" s="1"/>
  <c r="M123" i="8" s="1"/>
  <c r="J122" i="8"/>
  <c r="K122" i="8" s="1"/>
  <c r="J121" i="8"/>
  <c r="K121" i="8" s="1"/>
  <c r="I120" i="8"/>
  <c r="I119" i="8" s="1"/>
  <c r="L119" i="8" s="1"/>
  <c r="J118" i="8"/>
  <c r="K118" i="8" s="1"/>
  <c r="J117" i="8"/>
  <c r="K117" i="8" s="1"/>
  <c r="J116" i="8"/>
  <c r="I116" i="8"/>
  <c r="I115" i="8"/>
  <c r="J115" i="8" s="1"/>
  <c r="I114" i="8"/>
  <c r="K114" i="8" s="1"/>
  <c r="J109" i="8"/>
  <c r="K109" i="8" s="1"/>
  <c r="J108" i="8"/>
  <c r="I107" i="8"/>
  <c r="K107" i="8" s="1"/>
  <c r="I106" i="8"/>
  <c r="K106" i="8" s="1"/>
  <c r="I105" i="8"/>
  <c r="K105" i="8" s="1"/>
  <c r="J103" i="8"/>
  <c r="K103" i="8" s="1"/>
  <c r="J102" i="8"/>
  <c r="K102" i="8" s="1"/>
  <c r="I101" i="8"/>
  <c r="I100" i="8"/>
  <c r="K100" i="8" s="1"/>
  <c r="J98" i="8"/>
  <c r="K98" i="8" s="1"/>
  <c r="J97" i="8"/>
  <c r="K97" i="8" s="1"/>
  <c r="I96" i="8"/>
  <c r="I95" i="8" s="1"/>
  <c r="L95" i="8" s="1"/>
  <c r="J94" i="8"/>
  <c r="K94" i="8" s="1"/>
  <c r="J93" i="8"/>
  <c r="K93" i="8" s="1"/>
  <c r="I92" i="8"/>
  <c r="K92" i="8" s="1"/>
  <c r="I91" i="8"/>
  <c r="K91" i="8" s="1"/>
  <c r="J89" i="8"/>
  <c r="K89" i="8" s="1"/>
  <c r="J88" i="8"/>
  <c r="G87" i="8"/>
  <c r="I87" i="8" s="1"/>
  <c r="K87" i="8" s="1"/>
  <c r="I86" i="8"/>
  <c r="J85" i="8"/>
  <c r="K85" i="8" s="1"/>
  <c r="J84" i="8"/>
  <c r="K84" i="8" s="1"/>
  <c r="I83" i="8"/>
  <c r="K83" i="8" s="1"/>
  <c r="J81" i="8"/>
  <c r="K81" i="8" s="1"/>
  <c r="J80" i="8"/>
  <c r="K80" i="8" s="1"/>
  <c r="I79" i="8"/>
  <c r="K79" i="8" s="1"/>
  <c r="J77" i="8"/>
  <c r="K77" i="8" s="1"/>
  <c r="J76" i="8"/>
  <c r="K76" i="8" s="1"/>
  <c r="I75" i="8"/>
  <c r="I74" i="8" s="1"/>
  <c r="L74" i="8" s="1"/>
  <c r="J73" i="8"/>
  <c r="K73" i="8" s="1"/>
  <c r="J72" i="8"/>
  <c r="I71" i="8"/>
  <c r="K71" i="8" s="1"/>
  <c r="J69" i="8"/>
  <c r="K69" i="8" s="1"/>
  <c r="J68" i="8"/>
  <c r="K68" i="8" s="1"/>
  <c r="I67" i="8"/>
  <c r="K67" i="8" s="1"/>
  <c r="J65" i="8"/>
  <c r="K65" i="8" s="1"/>
  <c r="J64" i="8"/>
  <c r="I63" i="8"/>
  <c r="K63" i="8" s="1"/>
  <c r="J61" i="8"/>
  <c r="K61" i="8" s="1"/>
  <c r="J60" i="8"/>
  <c r="K60" i="8" s="1"/>
  <c r="I59" i="8"/>
  <c r="K59" i="8" s="1"/>
  <c r="J57" i="8"/>
  <c r="K57" i="8" s="1"/>
  <c r="J56" i="8"/>
  <c r="K56" i="8" s="1"/>
  <c r="I55" i="8"/>
  <c r="K55" i="8" s="1"/>
  <c r="I54" i="8"/>
  <c r="K54" i="8" s="1"/>
  <c r="J52" i="8"/>
  <c r="K52" i="8" s="1"/>
  <c r="J51" i="8"/>
  <c r="I50" i="8"/>
  <c r="K50" i="8" s="1"/>
  <c r="I49" i="8"/>
  <c r="K49" i="8" s="1"/>
  <c r="I48" i="8"/>
  <c r="K48" i="8" s="1"/>
  <c r="I47" i="8"/>
  <c r="K47" i="8" s="1"/>
  <c r="I46" i="8"/>
  <c r="K46" i="8" s="1"/>
  <c r="J39" i="8"/>
  <c r="K39" i="8" s="1"/>
  <c r="J38" i="8"/>
  <c r="K38" i="8" s="1"/>
  <c r="I37" i="8"/>
  <c r="L37" i="8" s="1"/>
  <c r="I35" i="8"/>
  <c r="J33" i="8"/>
  <c r="K33" i="8" s="1"/>
  <c r="J32" i="8"/>
  <c r="K32" i="8" s="1"/>
  <c r="I31" i="8"/>
  <c r="I30" i="8" s="1"/>
  <c r="L30" i="8" s="1"/>
  <c r="J29" i="8"/>
  <c r="K29" i="8" s="1"/>
  <c r="I28" i="8"/>
  <c r="I27" i="8"/>
  <c r="I26" i="8"/>
  <c r="J24" i="8"/>
  <c r="K24" i="8" s="1"/>
  <c r="J23" i="8"/>
  <c r="K23" i="8" s="1"/>
  <c r="I22" i="8"/>
  <c r="L22" i="8" s="1"/>
  <c r="J21" i="8"/>
  <c r="K21" i="8" s="1"/>
  <c r="I20" i="8"/>
  <c r="L20" i="8" s="1"/>
  <c r="J19" i="8"/>
  <c r="K19" i="8" s="1"/>
  <c r="I18" i="8"/>
  <c r="L18" i="8" s="1"/>
  <c r="J17" i="8"/>
  <c r="K17" i="8" s="1"/>
  <c r="J16" i="8"/>
  <c r="K16" i="8" s="1"/>
  <c r="I15" i="8"/>
  <c r="L15" i="8" s="1"/>
  <c r="O1029" i="8" l="1"/>
  <c r="P1029" i="8" s="1"/>
  <c r="O1077" i="8"/>
  <c r="P1077" i="8" s="1"/>
  <c r="O1031" i="8"/>
  <c r="P1031" i="8" s="1"/>
  <c r="O137" i="8"/>
  <c r="P137" i="8" s="1"/>
  <c r="O172" i="8"/>
  <c r="P172" i="8" s="1"/>
  <c r="O1033" i="8"/>
  <c r="P1033" i="8" s="1"/>
  <c r="J1144" i="8"/>
  <c r="M1144" i="8" s="1"/>
  <c r="I584" i="8"/>
  <c r="L584" i="8" s="1"/>
  <c r="J614" i="8"/>
  <c r="M614" i="8" s="1"/>
  <c r="J954" i="8"/>
  <c r="M954" i="8" s="1"/>
  <c r="J271" i="8"/>
  <c r="J598" i="8"/>
  <c r="M598" i="8" s="1"/>
  <c r="K272" i="8"/>
  <c r="J302" i="8"/>
  <c r="M302" i="8" s="1"/>
  <c r="K342" i="8"/>
  <c r="N1058" i="8"/>
  <c r="O1058" i="8" s="1"/>
  <c r="P1058" i="8" s="1"/>
  <c r="J243" i="8"/>
  <c r="M243" i="8" s="1"/>
  <c r="J283" i="8"/>
  <c r="M283" i="8" s="1"/>
  <c r="K124" i="8"/>
  <c r="J536" i="8"/>
  <c r="M536" i="8" s="1"/>
  <c r="J1104" i="8"/>
  <c r="M1104" i="8" s="1"/>
  <c r="J1136" i="8"/>
  <c r="M1136" i="8" s="1"/>
  <c r="N1070" i="8"/>
  <c r="O1070" i="8" s="1"/>
  <c r="P1070" i="8" s="1"/>
  <c r="J1132" i="8"/>
  <c r="M1132" i="8" s="1"/>
  <c r="N187" i="8"/>
  <c r="O187" i="8" s="1"/>
  <c r="P187" i="8" s="1"/>
  <c r="K75" i="8"/>
  <c r="J861" i="8"/>
  <c r="M861" i="8" s="1"/>
  <c r="J958" i="8"/>
  <c r="M958" i="8" s="1"/>
  <c r="K1033" i="8"/>
  <c r="J74" i="8"/>
  <c r="I123" i="8"/>
  <c r="J143" i="8"/>
  <c r="M143" i="8" s="1"/>
  <c r="J938" i="8"/>
  <c r="M938" i="8" s="1"/>
  <c r="N1049" i="8"/>
  <c r="O1049" i="8" s="1"/>
  <c r="P1049" i="8" s="1"/>
  <c r="N1055" i="8"/>
  <c r="O1055" i="8" s="1"/>
  <c r="P1055" i="8" s="1"/>
  <c r="J251" i="8"/>
  <c r="M251" i="8" s="1"/>
  <c r="J275" i="8"/>
  <c r="M275" i="8" s="1"/>
  <c r="N1061" i="8"/>
  <c r="O1061" i="8" s="1"/>
  <c r="P1061" i="8" s="1"/>
  <c r="N1067" i="8"/>
  <c r="O1067" i="8" s="1"/>
  <c r="P1067" i="8" s="1"/>
  <c r="K129" i="8"/>
  <c r="L129" i="8"/>
  <c r="N129" i="8" s="1"/>
  <c r="O129" i="8" s="1"/>
  <c r="P129" i="8" s="1"/>
  <c r="I58" i="8"/>
  <c r="L58" i="8" s="1"/>
  <c r="J86" i="8"/>
  <c r="M86" i="8" s="1"/>
  <c r="N86" i="8" s="1"/>
  <c r="O86" i="8" s="1"/>
  <c r="P86" i="8" s="1"/>
  <c r="J104" i="8"/>
  <c r="M104" i="8" s="1"/>
  <c r="I139" i="8"/>
  <c r="L139" i="8" s="1"/>
  <c r="I179" i="8"/>
  <c r="L179" i="8" s="1"/>
  <c r="I192" i="8"/>
  <c r="J291" i="8"/>
  <c r="M291" i="8" s="1"/>
  <c r="K296" i="8"/>
  <c r="I460" i="8"/>
  <c r="L460" i="8" s="1"/>
  <c r="K626" i="8"/>
  <c r="I922" i="8"/>
  <c r="L922" i="8" s="1"/>
  <c r="J977" i="8"/>
  <c r="M977" i="8" s="1"/>
  <c r="N977" i="8" s="1"/>
  <c r="O977" i="8" s="1"/>
  <c r="P977" i="8" s="1"/>
  <c r="K1035" i="8"/>
  <c r="L1035" i="8"/>
  <c r="N1035" i="8" s="1"/>
  <c r="O1035" i="8" s="1"/>
  <c r="P1035" i="8" s="1"/>
  <c r="N1052" i="8"/>
  <c r="O1052" i="8" s="1"/>
  <c r="P1052" i="8" s="1"/>
  <c r="N1064" i="8"/>
  <c r="O1064" i="8" s="1"/>
  <c r="P1064" i="8" s="1"/>
  <c r="N1144" i="8"/>
  <c r="O1144" i="8" s="1"/>
  <c r="P1144" i="8" s="1"/>
  <c r="K35" i="8"/>
  <c r="L35" i="8"/>
  <c r="N35" i="8" s="1"/>
  <c r="O35" i="8" s="1"/>
  <c r="P35" i="8" s="1"/>
  <c r="J45" i="8"/>
  <c r="M45" i="8" s="1"/>
  <c r="I70" i="8"/>
  <c r="L70" i="8" s="1"/>
  <c r="J192" i="8"/>
  <c r="M192" i="8" s="1"/>
  <c r="I267" i="8"/>
  <c r="L267" i="8" s="1"/>
  <c r="I420" i="8"/>
  <c r="L420" i="8" s="1"/>
  <c r="I490" i="8"/>
  <c r="L490" i="8" s="1"/>
  <c r="N610" i="8"/>
  <c r="O610" i="8" s="1"/>
  <c r="P610" i="8" s="1"/>
  <c r="I636" i="8"/>
  <c r="L636" i="8" s="1"/>
  <c r="I816" i="8"/>
  <c r="L816" i="8" s="1"/>
  <c r="I838" i="8"/>
  <c r="L838" i="8" s="1"/>
  <c r="I869" i="8"/>
  <c r="L869" i="8" s="1"/>
  <c r="N938" i="8"/>
  <c r="O938" i="8" s="1"/>
  <c r="P938" i="8" s="1"/>
  <c r="J946" i="8"/>
  <c r="M946" i="8" s="1"/>
  <c r="N946" i="8" s="1"/>
  <c r="O946" i="8" s="1"/>
  <c r="P946" i="8" s="1"/>
  <c r="N958" i="8"/>
  <c r="O958" i="8" s="1"/>
  <c r="P958" i="8" s="1"/>
  <c r="J966" i="8"/>
  <c r="M966" i="8" s="1"/>
  <c r="N966" i="8" s="1"/>
  <c r="O966" i="8" s="1"/>
  <c r="P966" i="8" s="1"/>
  <c r="J1000" i="8"/>
  <c r="M1000" i="8" s="1"/>
  <c r="N1000" i="8" s="1"/>
  <c r="O1000" i="8" s="1"/>
  <c r="P1000" i="8" s="1"/>
  <c r="I1037" i="8"/>
  <c r="L1037" i="8" s="1"/>
  <c r="N1085" i="8"/>
  <c r="O1085" i="8" s="1"/>
  <c r="P1085" i="8" s="1"/>
  <c r="N1104" i="8"/>
  <c r="O1104" i="8" s="1"/>
  <c r="P1104" i="8" s="1"/>
  <c r="N1136" i="8"/>
  <c r="O1136" i="8" s="1"/>
  <c r="P1136" i="8" s="1"/>
  <c r="J224" i="8"/>
  <c r="M224" i="8" s="1"/>
  <c r="K74" i="8"/>
  <c r="M74" i="8"/>
  <c r="N74" i="8" s="1"/>
  <c r="O74" i="8" s="1"/>
  <c r="P74" i="8" s="1"/>
  <c r="K123" i="8"/>
  <c r="L123" i="8"/>
  <c r="N123" i="8" s="1"/>
  <c r="O123" i="8" s="1"/>
  <c r="P123" i="8" s="1"/>
  <c r="I203" i="8"/>
  <c r="L203" i="8" s="1"/>
  <c r="J220" i="8"/>
  <c r="M220" i="8" s="1"/>
  <c r="N220" i="8" s="1"/>
  <c r="O220" i="8" s="1"/>
  <c r="P220" i="8" s="1"/>
  <c r="I247" i="8"/>
  <c r="L247" i="8" s="1"/>
  <c r="I251" i="8"/>
  <c r="L251" i="8" s="1"/>
  <c r="N251" i="8" s="1"/>
  <c r="O251" i="8" s="1"/>
  <c r="P251" i="8" s="1"/>
  <c r="I255" i="8"/>
  <c r="L255" i="8" s="1"/>
  <c r="I259" i="8"/>
  <c r="L259" i="8" s="1"/>
  <c r="K271" i="8"/>
  <c r="M271" i="8"/>
  <c r="N271" i="8" s="1"/>
  <c r="O271" i="8" s="1"/>
  <c r="P271" i="8" s="1"/>
  <c r="I279" i="8"/>
  <c r="L279" i="8" s="1"/>
  <c r="I283" i="8"/>
  <c r="L283" i="8" s="1"/>
  <c r="N283" i="8" s="1"/>
  <c r="O283" i="8" s="1"/>
  <c r="P283" i="8" s="1"/>
  <c r="J287" i="8"/>
  <c r="M287" i="8" s="1"/>
  <c r="K318" i="8"/>
  <c r="I363" i="8"/>
  <c r="L363" i="8" s="1"/>
  <c r="I752" i="8"/>
  <c r="L752" i="8" s="1"/>
  <c r="I857" i="8"/>
  <c r="L857" i="8" s="1"/>
  <c r="I861" i="8"/>
  <c r="L861" i="8" s="1"/>
  <c r="N861" i="8" s="1"/>
  <c r="O861" i="8" s="1"/>
  <c r="P861" i="8" s="1"/>
  <c r="K894" i="8"/>
  <c r="L894" i="8"/>
  <c r="N894" i="8" s="1"/>
  <c r="O894" i="8" s="1"/>
  <c r="P894" i="8" s="1"/>
  <c r="I930" i="8"/>
  <c r="L930" i="8" s="1"/>
  <c r="N954" i="8"/>
  <c r="O954" i="8" s="1"/>
  <c r="P954" i="8" s="1"/>
  <c r="N1132" i="8"/>
  <c r="O1132" i="8" s="1"/>
  <c r="P1132" i="8" s="1"/>
  <c r="J1037" i="8"/>
  <c r="M1037" i="8" s="1"/>
  <c r="J985" i="8"/>
  <c r="M985" i="8" s="1"/>
  <c r="N985" i="8" s="1"/>
  <c r="O985" i="8" s="1"/>
  <c r="P985" i="8" s="1"/>
  <c r="J981" i="8"/>
  <c r="M981" i="8" s="1"/>
  <c r="N981" i="8" s="1"/>
  <c r="O981" i="8" s="1"/>
  <c r="P981" i="8" s="1"/>
  <c r="J973" i="8"/>
  <c r="M973" i="8" s="1"/>
  <c r="N973" i="8" s="1"/>
  <c r="O973" i="8" s="1"/>
  <c r="P973" i="8" s="1"/>
  <c r="J906" i="8"/>
  <c r="M906" i="8" s="1"/>
  <c r="N906" i="8" s="1"/>
  <c r="O906" i="8" s="1"/>
  <c r="P906" i="8" s="1"/>
  <c r="J773" i="8"/>
  <c r="M773" i="8" s="1"/>
  <c r="J742" i="8"/>
  <c r="M742" i="8" s="1"/>
  <c r="J625" i="8"/>
  <c r="M625" i="8" s="1"/>
  <c r="N625" i="8" s="1"/>
  <c r="O625" i="8" s="1"/>
  <c r="P625" i="8" s="1"/>
  <c r="J572" i="8"/>
  <c r="M572" i="8" s="1"/>
  <c r="K277" i="8"/>
  <c r="J259" i="8"/>
  <c r="M259" i="8" s="1"/>
  <c r="K245" i="8"/>
  <c r="J239" i="8"/>
  <c r="K222" i="8"/>
  <c r="J179" i="8"/>
  <c r="M179" i="8" s="1"/>
  <c r="J155" i="8"/>
  <c r="J139" i="8"/>
  <c r="M139" i="8" s="1"/>
  <c r="J62" i="8"/>
  <c r="M62" i="8" s="1"/>
  <c r="J53" i="8"/>
  <c r="M53" i="8" s="1"/>
  <c r="J30" i="8"/>
  <c r="M30" i="8" s="1"/>
  <c r="N30" i="8" s="1"/>
  <c r="O30" i="8" s="1"/>
  <c r="P30" i="8" s="1"/>
  <c r="J25" i="8"/>
  <c r="M25" i="8" s="1"/>
  <c r="J113" i="8"/>
  <c r="M113" i="8" s="1"/>
  <c r="K600" i="8"/>
  <c r="I598" i="8"/>
  <c r="L598" i="8" s="1"/>
  <c r="N598" i="8" s="1"/>
  <c r="O598" i="8" s="1"/>
  <c r="P598" i="8" s="1"/>
  <c r="K622" i="8"/>
  <c r="I621" i="8"/>
  <c r="L621" i="8" s="1"/>
  <c r="K711" i="8"/>
  <c r="J707" i="8"/>
  <c r="M707" i="8" s="1"/>
  <c r="K717" i="8"/>
  <c r="I716" i="8"/>
  <c r="L716" i="8" s="1"/>
  <c r="K771" i="8"/>
  <c r="J760" i="8"/>
  <c r="M760" i="8" s="1"/>
  <c r="J18" i="8"/>
  <c r="M18" i="8" s="1"/>
  <c r="N18" i="8" s="1"/>
  <c r="O18" i="8" s="1"/>
  <c r="P18" i="8" s="1"/>
  <c r="K64" i="8"/>
  <c r="I66" i="8"/>
  <c r="L66" i="8" s="1"/>
  <c r="J70" i="8"/>
  <c r="M70" i="8" s="1"/>
  <c r="I90" i="8"/>
  <c r="L90" i="8" s="1"/>
  <c r="K116" i="8"/>
  <c r="I151" i="8"/>
  <c r="L151" i="8" s="1"/>
  <c r="J163" i="8"/>
  <c r="M163" i="8" s="1"/>
  <c r="J183" i="8"/>
  <c r="K187" i="8"/>
  <c r="K194" i="8"/>
  <c r="I196" i="8"/>
  <c r="L196" i="8" s="1"/>
  <c r="J203" i="8"/>
  <c r="M203" i="8" s="1"/>
  <c r="I216" i="8"/>
  <c r="L216" i="8" s="1"/>
  <c r="I243" i="8"/>
  <c r="L243" i="8" s="1"/>
  <c r="N243" i="8" s="1"/>
  <c r="O243" i="8" s="1"/>
  <c r="P243" i="8" s="1"/>
  <c r="J255" i="8"/>
  <c r="K261" i="8"/>
  <c r="I263" i="8"/>
  <c r="L263" i="8" s="1"/>
  <c r="J267" i="8"/>
  <c r="M267" i="8" s="1"/>
  <c r="I275" i="8"/>
  <c r="L275" i="8" s="1"/>
  <c r="N275" i="8" s="1"/>
  <c r="O275" i="8" s="1"/>
  <c r="P275" i="8" s="1"/>
  <c r="I470" i="8"/>
  <c r="L470" i="8" s="1"/>
  <c r="I480" i="8"/>
  <c r="L480" i="8" s="1"/>
  <c r="I505" i="8"/>
  <c r="L505" i="8" s="1"/>
  <c r="I510" i="8"/>
  <c r="L510" i="8" s="1"/>
  <c r="I520" i="8"/>
  <c r="L520" i="8" s="1"/>
  <c r="J552" i="8"/>
  <c r="M552" i="8" s="1"/>
  <c r="K592" i="8"/>
  <c r="I591" i="8"/>
  <c r="L591" i="8" s="1"/>
  <c r="K620" i="8"/>
  <c r="J617" i="8"/>
  <c r="M617" i="8" s="1"/>
  <c r="K661" i="8"/>
  <c r="I660" i="8"/>
  <c r="L660" i="8" s="1"/>
  <c r="J568" i="8"/>
  <c r="M568" i="8" s="1"/>
  <c r="J780" i="8"/>
  <c r="M780" i="8" s="1"/>
  <c r="J825" i="8"/>
  <c r="M825" i="8" s="1"/>
  <c r="I830" i="8"/>
  <c r="L830" i="8" s="1"/>
  <c r="I846" i="8"/>
  <c r="L846" i="8" s="1"/>
  <c r="K863" i="8"/>
  <c r="I865" i="8"/>
  <c r="L865" i="8" s="1"/>
  <c r="J869" i="8"/>
  <c r="J896" i="8"/>
  <c r="M896" i="8" s="1"/>
  <c r="N896" i="8" s="1"/>
  <c r="O896" i="8" s="1"/>
  <c r="P896" i="8" s="1"/>
  <c r="J922" i="8"/>
  <c r="M922" i="8" s="1"/>
  <c r="J926" i="8"/>
  <c r="M926" i="8" s="1"/>
  <c r="J942" i="8"/>
  <c r="M942" i="8" s="1"/>
  <c r="N942" i="8" s="1"/>
  <c r="O942" i="8" s="1"/>
  <c r="P942" i="8" s="1"/>
  <c r="J950" i="8"/>
  <c r="M950" i="8" s="1"/>
  <c r="N950" i="8" s="1"/>
  <c r="O950" i="8" s="1"/>
  <c r="P950" i="8" s="1"/>
  <c r="J962" i="8"/>
  <c r="M962" i="8" s="1"/>
  <c r="N962" i="8" s="1"/>
  <c r="O962" i="8" s="1"/>
  <c r="P962" i="8" s="1"/>
  <c r="J1012" i="8"/>
  <c r="M1012" i="8" s="1"/>
  <c r="N1012" i="8" s="1"/>
  <c r="O1012" i="8" s="1"/>
  <c r="P1012" i="8" s="1"/>
  <c r="J1019" i="8"/>
  <c r="M1019" i="8" s="1"/>
  <c r="N1019" i="8" s="1"/>
  <c r="O1019" i="8" s="1"/>
  <c r="P1019" i="8" s="1"/>
  <c r="J1045" i="8"/>
  <c r="M1045" i="8" s="1"/>
  <c r="N1045" i="8" s="1"/>
  <c r="O1045" i="8" s="1"/>
  <c r="P1045" i="8" s="1"/>
  <c r="J1100" i="8"/>
  <c r="M1100" i="8" s="1"/>
  <c r="N1100" i="8" s="1"/>
  <c r="O1100" i="8" s="1"/>
  <c r="P1100" i="8" s="1"/>
  <c r="J1112" i="8"/>
  <c r="M1112" i="8" s="1"/>
  <c r="N1112" i="8" s="1"/>
  <c r="O1112" i="8" s="1"/>
  <c r="P1112" i="8" s="1"/>
  <c r="J1140" i="8"/>
  <c r="M1140" i="8" s="1"/>
  <c r="N1140" i="8" s="1"/>
  <c r="O1140" i="8" s="1"/>
  <c r="P1140" i="8" s="1"/>
  <c r="J90" i="8"/>
  <c r="M90" i="8" s="1"/>
  <c r="I99" i="8"/>
  <c r="L99" i="8" s="1"/>
  <c r="I302" i="8"/>
  <c r="L302" i="8" s="1"/>
  <c r="N302" i="8" s="1"/>
  <c r="O302" i="8" s="1"/>
  <c r="P302" i="8" s="1"/>
  <c r="K446" i="8"/>
  <c r="I444" i="8"/>
  <c r="L444" i="8" s="1"/>
  <c r="K725" i="8"/>
  <c r="I723" i="8"/>
  <c r="L723" i="8" s="1"/>
  <c r="I45" i="8"/>
  <c r="L45" i="8" s="1"/>
  <c r="J15" i="8"/>
  <c r="J22" i="8"/>
  <c r="I25" i="8"/>
  <c r="K51" i="8"/>
  <c r="J58" i="8"/>
  <c r="I62" i="8"/>
  <c r="L62" i="8" s="1"/>
  <c r="N62" i="8" s="1"/>
  <c r="O62" i="8" s="1"/>
  <c r="P62" i="8" s="1"/>
  <c r="J66" i="8"/>
  <c r="M66" i="8" s="1"/>
  <c r="K70" i="8"/>
  <c r="K72" i="8"/>
  <c r="I82" i="8"/>
  <c r="L82" i="8" s="1"/>
  <c r="K115" i="8"/>
  <c r="J119" i="8"/>
  <c r="M119" i="8" s="1"/>
  <c r="N119" i="8" s="1"/>
  <c r="O119" i="8" s="1"/>
  <c r="P119" i="8" s="1"/>
  <c r="J131" i="8"/>
  <c r="K141" i="8"/>
  <c r="I143" i="8"/>
  <c r="L143" i="8" s="1"/>
  <c r="N143" i="8" s="1"/>
  <c r="O143" i="8" s="1"/>
  <c r="P143" i="8" s="1"/>
  <c r="I147" i="8"/>
  <c r="L147" i="8" s="1"/>
  <c r="I163" i="8"/>
  <c r="L163" i="8" s="1"/>
  <c r="N163" i="8" s="1"/>
  <c r="O163" i="8" s="1"/>
  <c r="P163" i="8" s="1"/>
  <c r="I167" i="8"/>
  <c r="L167" i="8" s="1"/>
  <c r="K181" i="8"/>
  <c r="J196" i="8"/>
  <c r="K205" i="8"/>
  <c r="I211" i="8"/>
  <c r="L211" i="8" s="1"/>
  <c r="I224" i="8"/>
  <c r="L224" i="8" s="1"/>
  <c r="I229" i="8"/>
  <c r="L229" i="8" s="1"/>
  <c r="J247" i="8"/>
  <c r="K251" i="8"/>
  <c r="K253" i="8"/>
  <c r="J263" i="8"/>
  <c r="K269" i="8"/>
  <c r="J279" i="8"/>
  <c r="K304" i="8"/>
  <c r="K317" i="8"/>
  <c r="J380" i="8"/>
  <c r="M380" i="8" s="1"/>
  <c r="I404" i="8"/>
  <c r="L404" i="8" s="1"/>
  <c r="I412" i="8"/>
  <c r="L412" i="8" s="1"/>
  <c r="I428" i="8"/>
  <c r="L428" i="8" s="1"/>
  <c r="K442" i="8"/>
  <c r="J436" i="8"/>
  <c r="M436" i="8" s="1"/>
  <c r="I455" i="8"/>
  <c r="L455" i="8" s="1"/>
  <c r="I465" i="8"/>
  <c r="L465" i="8" s="1"/>
  <c r="I475" i="8"/>
  <c r="L475" i="8" s="1"/>
  <c r="I485" i="8"/>
  <c r="L485" i="8" s="1"/>
  <c r="I495" i="8"/>
  <c r="L495" i="8" s="1"/>
  <c r="I500" i="8"/>
  <c r="L500" i="8" s="1"/>
  <c r="J524" i="8"/>
  <c r="M524" i="8" s="1"/>
  <c r="J528" i="8"/>
  <c r="M528" i="8" s="1"/>
  <c r="K533" i="8"/>
  <c r="J540" i="8"/>
  <c r="M540" i="8" s="1"/>
  <c r="J544" i="8"/>
  <c r="M544" i="8" s="1"/>
  <c r="K549" i="8"/>
  <c r="J556" i="8"/>
  <c r="M556" i="8" s="1"/>
  <c r="J560" i="8"/>
  <c r="M560" i="8" s="1"/>
  <c r="K565" i="8"/>
  <c r="I572" i="8"/>
  <c r="I576" i="8"/>
  <c r="L576" i="8" s="1"/>
  <c r="J576" i="8"/>
  <c r="M576" i="8" s="1"/>
  <c r="I614" i="8"/>
  <c r="L614" i="8" s="1"/>
  <c r="N614" i="8" s="1"/>
  <c r="O614" i="8" s="1"/>
  <c r="P614" i="8" s="1"/>
  <c r="I617" i="8"/>
  <c r="L617" i="8" s="1"/>
  <c r="N617" i="8" s="1"/>
  <c r="O617" i="8" s="1"/>
  <c r="P617" i="8" s="1"/>
  <c r="I666" i="8"/>
  <c r="L666" i="8" s="1"/>
  <c r="I675" i="8"/>
  <c r="L675" i="8" s="1"/>
  <c r="I691" i="8"/>
  <c r="L691" i="8" s="1"/>
  <c r="K921" i="8"/>
  <c r="J918" i="8"/>
  <c r="M918" i="8" s="1"/>
  <c r="N918" i="8" s="1"/>
  <c r="O918" i="8" s="1"/>
  <c r="P918" i="8" s="1"/>
  <c r="K954" i="8"/>
  <c r="K981" i="8"/>
  <c r="K1104" i="8"/>
  <c r="I643" i="8"/>
  <c r="L643" i="8" s="1"/>
  <c r="I683" i="8"/>
  <c r="L683" i="8" s="1"/>
  <c r="I699" i="8"/>
  <c r="L699" i="8" s="1"/>
  <c r="I707" i="8"/>
  <c r="L707" i="8" s="1"/>
  <c r="N707" i="8" s="1"/>
  <c r="O707" i="8" s="1"/>
  <c r="P707" i="8" s="1"/>
  <c r="J716" i="8"/>
  <c r="M716" i="8" s="1"/>
  <c r="J723" i="8"/>
  <c r="M723" i="8" s="1"/>
  <c r="I742" i="8"/>
  <c r="L742" i="8" s="1"/>
  <c r="N742" i="8" s="1"/>
  <c r="O742" i="8" s="1"/>
  <c r="P742" i="8" s="1"/>
  <c r="J752" i="8"/>
  <c r="M752" i="8" s="1"/>
  <c r="I760" i="8"/>
  <c r="L760" i="8" s="1"/>
  <c r="N760" i="8" s="1"/>
  <c r="O760" i="8" s="1"/>
  <c r="P760" i="8" s="1"/>
  <c r="I773" i="8"/>
  <c r="L773" i="8" s="1"/>
  <c r="I780" i="8"/>
  <c r="L780" i="8" s="1"/>
  <c r="N780" i="8" s="1"/>
  <c r="O780" i="8" s="1"/>
  <c r="P780" i="8" s="1"/>
  <c r="J789" i="8"/>
  <c r="M789" i="8" s="1"/>
  <c r="J810" i="8"/>
  <c r="M810" i="8" s="1"/>
  <c r="I834" i="8"/>
  <c r="L834" i="8" s="1"/>
  <c r="I842" i="8"/>
  <c r="L842" i="8" s="1"/>
  <c r="I850" i="8"/>
  <c r="L850" i="8" s="1"/>
  <c r="J857" i="8"/>
  <c r="M857" i="8" s="1"/>
  <c r="J865" i="8"/>
  <c r="M865" i="8" s="1"/>
  <c r="K871" i="8"/>
  <c r="J876" i="8"/>
  <c r="M876" i="8" s="1"/>
  <c r="K906" i="8"/>
  <c r="K922" i="8"/>
  <c r="K938" i="8"/>
  <c r="K1029" i="8"/>
  <c r="K1031" i="8"/>
  <c r="K1077" i="8"/>
  <c r="J902" i="8"/>
  <c r="M902" i="8" s="1"/>
  <c r="N902" i="8" s="1"/>
  <c r="O902" i="8" s="1"/>
  <c r="P902" i="8" s="1"/>
  <c r="J910" i="8"/>
  <c r="M910" i="8" s="1"/>
  <c r="N910" i="8" s="1"/>
  <c r="O910" i="8" s="1"/>
  <c r="P910" i="8" s="1"/>
  <c r="J914" i="8"/>
  <c r="M914" i="8" s="1"/>
  <c r="N914" i="8" s="1"/>
  <c r="O914" i="8" s="1"/>
  <c r="P914" i="8" s="1"/>
  <c r="J934" i="8"/>
  <c r="M934" i="8" s="1"/>
  <c r="N934" i="8" s="1"/>
  <c r="O934" i="8" s="1"/>
  <c r="P934" i="8" s="1"/>
  <c r="J989" i="8"/>
  <c r="M989" i="8" s="1"/>
  <c r="N989" i="8" s="1"/>
  <c r="O989" i="8" s="1"/>
  <c r="P989" i="8" s="1"/>
  <c r="J996" i="8"/>
  <c r="M996" i="8" s="1"/>
  <c r="N996" i="8" s="1"/>
  <c r="O996" i="8" s="1"/>
  <c r="P996" i="8" s="1"/>
  <c r="J1004" i="8"/>
  <c r="M1004" i="8" s="1"/>
  <c r="N1004" i="8" s="1"/>
  <c r="O1004" i="8" s="1"/>
  <c r="P1004" i="8" s="1"/>
  <c r="J1008" i="8"/>
  <c r="M1008" i="8" s="1"/>
  <c r="N1008" i="8" s="1"/>
  <c r="O1008" i="8" s="1"/>
  <c r="P1008" i="8" s="1"/>
  <c r="J1015" i="8"/>
  <c r="M1015" i="8" s="1"/>
  <c r="N1015" i="8" s="1"/>
  <c r="O1015" i="8" s="1"/>
  <c r="P1015" i="8" s="1"/>
  <c r="J1024" i="8"/>
  <c r="M1024" i="8" s="1"/>
  <c r="N1024" i="8" s="1"/>
  <c r="O1024" i="8" s="1"/>
  <c r="P1024" i="8" s="1"/>
  <c r="J1081" i="8"/>
  <c r="M1081" i="8" s="1"/>
  <c r="N1081" i="8" s="1"/>
  <c r="O1081" i="8" s="1"/>
  <c r="P1081" i="8" s="1"/>
  <c r="I1088" i="8"/>
  <c r="L1088" i="8" s="1"/>
  <c r="J1088" i="8"/>
  <c r="M1088" i="8" s="1"/>
  <c r="J1096" i="8"/>
  <c r="M1096" i="8" s="1"/>
  <c r="N1096" i="8" s="1"/>
  <c r="O1096" i="8" s="1"/>
  <c r="P1096" i="8" s="1"/>
  <c r="J1108" i="8"/>
  <c r="M1108" i="8" s="1"/>
  <c r="N1108" i="8" s="1"/>
  <c r="O1108" i="8" s="1"/>
  <c r="P1108" i="8" s="1"/>
  <c r="J1116" i="8"/>
  <c r="M1116" i="8" s="1"/>
  <c r="N1116" i="8" s="1"/>
  <c r="O1116" i="8" s="1"/>
  <c r="P1116" i="8" s="1"/>
  <c r="J1120" i="8"/>
  <c r="M1120" i="8" s="1"/>
  <c r="N1120" i="8" s="1"/>
  <c r="O1120" i="8" s="1"/>
  <c r="P1120" i="8" s="1"/>
  <c r="J1124" i="8"/>
  <c r="M1124" i="8" s="1"/>
  <c r="N1124" i="8" s="1"/>
  <c r="O1124" i="8" s="1"/>
  <c r="P1124" i="8" s="1"/>
  <c r="J1128" i="8"/>
  <c r="M1128" i="8" s="1"/>
  <c r="N1128" i="8" s="1"/>
  <c r="O1128" i="8" s="1"/>
  <c r="P1128" i="8" s="1"/>
  <c r="I53" i="8"/>
  <c r="L53" i="8" s="1"/>
  <c r="N53" i="8" s="1"/>
  <c r="O53" i="8" s="1"/>
  <c r="P53" i="8" s="1"/>
  <c r="I78" i="8"/>
  <c r="L78" i="8" s="1"/>
  <c r="J95" i="8"/>
  <c r="M95" i="8" s="1"/>
  <c r="N95" i="8" s="1"/>
  <c r="O95" i="8" s="1"/>
  <c r="P95" i="8" s="1"/>
  <c r="I113" i="8"/>
  <c r="L113" i="8" s="1"/>
  <c r="N113" i="8" s="1"/>
  <c r="O113" i="8" s="1"/>
  <c r="P113" i="8" s="1"/>
  <c r="K86" i="8"/>
  <c r="K88" i="8"/>
  <c r="K96" i="8"/>
  <c r="K108" i="8"/>
  <c r="K120" i="8"/>
  <c r="K126" i="8"/>
  <c r="K162" i="8"/>
  <c r="J159" i="8"/>
  <c r="M159" i="8" s="1"/>
  <c r="N159" i="8" s="1"/>
  <c r="O159" i="8" s="1"/>
  <c r="P159" i="8" s="1"/>
  <c r="K179" i="8"/>
  <c r="J37" i="8"/>
  <c r="M37" i="8" s="1"/>
  <c r="N37" i="8" s="1"/>
  <c r="O37" i="8" s="1"/>
  <c r="P37" i="8" s="1"/>
  <c r="J20" i="8"/>
  <c r="M20" i="8" s="1"/>
  <c r="N20" i="8" s="1"/>
  <c r="O20" i="8" s="1"/>
  <c r="P20" i="8" s="1"/>
  <c r="J78" i="8"/>
  <c r="M78" i="8" s="1"/>
  <c r="J82" i="8"/>
  <c r="M82" i="8" s="1"/>
  <c r="J99" i="8"/>
  <c r="M99" i="8" s="1"/>
  <c r="I104" i="8"/>
  <c r="L104" i="8" s="1"/>
  <c r="N104" i="8" s="1"/>
  <c r="O104" i="8" s="1"/>
  <c r="P104" i="8" s="1"/>
  <c r="I125" i="8"/>
  <c r="L125" i="8" s="1"/>
  <c r="N125" i="8" s="1"/>
  <c r="O125" i="8" s="1"/>
  <c r="P125" i="8" s="1"/>
  <c r="J147" i="8"/>
  <c r="M147" i="8" s="1"/>
  <c r="J151" i="8"/>
  <c r="M151" i="8" s="1"/>
  <c r="K243" i="8"/>
  <c r="K275" i="8"/>
  <c r="J207" i="8"/>
  <c r="M207" i="8" s="1"/>
  <c r="N207" i="8" s="1"/>
  <c r="O207" i="8" s="1"/>
  <c r="P207" i="8" s="1"/>
  <c r="J229" i="8"/>
  <c r="M229" i="8" s="1"/>
  <c r="I287" i="8"/>
  <c r="L287" i="8" s="1"/>
  <c r="N287" i="8" s="1"/>
  <c r="O287" i="8" s="1"/>
  <c r="P287" i="8" s="1"/>
  <c r="I396" i="8"/>
  <c r="L396" i="8" s="1"/>
  <c r="K525" i="8"/>
  <c r="I524" i="8"/>
  <c r="L524" i="8" s="1"/>
  <c r="N524" i="8" s="1"/>
  <c r="O524" i="8" s="1"/>
  <c r="P524" i="8" s="1"/>
  <c r="I536" i="8"/>
  <c r="L536" i="8" s="1"/>
  <c r="N536" i="8" s="1"/>
  <c r="O536" i="8" s="1"/>
  <c r="P536" i="8" s="1"/>
  <c r="K537" i="8"/>
  <c r="K557" i="8"/>
  <c r="I556" i="8"/>
  <c r="L556" i="8" s="1"/>
  <c r="I568" i="8"/>
  <c r="L568" i="8" s="1"/>
  <c r="N568" i="8" s="1"/>
  <c r="O568" i="8" s="1"/>
  <c r="P568" i="8" s="1"/>
  <c r="K569" i="8"/>
  <c r="K581" i="8"/>
  <c r="I580" i="8"/>
  <c r="L580" i="8" s="1"/>
  <c r="I339" i="8"/>
  <c r="L339" i="8" s="1"/>
  <c r="J341" i="8"/>
  <c r="J339" i="8" s="1"/>
  <c r="M339" i="8" s="1"/>
  <c r="K370" i="8"/>
  <c r="J363" i="8"/>
  <c r="M363" i="8" s="1"/>
  <c r="J211" i="8"/>
  <c r="M211" i="8" s="1"/>
  <c r="J216" i="8"/>
  <c r="M216" i="8" s="1"/>
  <c r="K231" i="8"/>
  <c r="K285" i="8"/>
  <c r="J295" i="8"/>
  <c r="M295" i="8" s="1"/>
  <c r="N295" i="8" s="1"/>
  <c r="O295" i="8" s="1"/>
  <c r="P295" i="8" s="1"/>
  <c r="I315" i="8"/>
  <c r="L315" i="8" s="1"/>
  <c r="I326" i="8"/>
  <c r="L326" i="8" s="1"/>
  <c r="I388" i="8"/>
  <c r="L388" i="8" s="1"/>
  <c r="K390" i="8"/>
  <c r="K394" i="8"/>
  <c r="J388" i="8"/>
  <c r="M388" i="8" s="1"/>
  <c r="K541" i="8"/>
  <c r="I540" i="8"/>
  <c r="L540" i="8" s="1"/>
  <c r="N540" i="8" s="1"/>
  <c r="O540" i="8" s="1"/>
  <c r="P540" i="8" s="1"/>
  <c r="I552" i="8"/>
  <c r="L552" i="8" s="1"/>
  <c r="N552" i="8" s="1"/>
  <c r="O552" i="8" s="1"/>
  <c r="P552" i="8" s="1"/>
  <c r="K553" i="8"/>
  <c r="J167" i="8"/>
  <c r="M167" i="8" s="1"/>
  <c r="I291" i="8"/>
  <c r="L291" i="8" s="1"/>
  <c r="N291" i="8" s="1"/>
  <c r="O291" i="8" s="1"/>
  <c r="P291" i="8" s="1"/>
  <c r="K293" i="8"/>
  <c r="J315" i="8"/>
  <c r="M315" i="8" s="1"/>
  <c r="I350" i="8"/>
  <c r="L350" i="8" s="1"/>
  <c r="K361" i="8"/>
  <c r="J350" i="8"/>
  <c r="M350" i="8" s="1"/>
  <c r="I372" i="8"/>
  <c r="L372" i="8" s="1"/>
  <c r="K379" i="8"/>
  <c r="J372" i="8"/>
  <c r="M372" i="8" s="1"/>
  <c r="K610" i="8"/>
  <c r="J326" i="8"/>
  <c r="M326" i="8" s="1"/>
  <c r="I380" i="8"/>
  <c r="J404" i="8"/>
  <c r="M404" i="8" s="1"/>
  <c r="J420" i="8"/>
  <c r="M420" i="8" s="1"/>
  <c r="I436" i="8"/>
  <c r="J520" i="8"/>
  <c r="M520" i="8" s="1"/>
  <c r="I528" i="8"/>
  <c r="L528" i="8" s="1"/>
  <c r="N528" i="8" s="1"/>
  <c r="O528" i="8" s="1"/>
  <c r="P528" i="8" s="1"/>
  <c r="J532" i="8"/>
  <c r="M532" i="8" s="1"/>
  <c r="N532" i="8" s="1"/>
  <c r="O532" i="8" s="1"/>
  <c r="P532" i="8" s="1"/>
  <c r="I544" i="8"/>
  <c r="L544" i="8" s="1"/>
  <c r="N544" i="8" s="1"/>
  <c r="O544" i="8" s="1"/>
  <c r="P544" i="8" s="1"/>
  <c r="J548" i="8"/>
  <c r="M548" i="8" s="1"/>
  <c r="N548" i="8" s="1"/>
  <c r="O548" i="8" s="1"/>
  <c r="P548" i="8" s="1"/>
  <c r="I560" i="8"/>
  <c r="L560" i="8" s="1"/>
  <c r="N560" i="8" s="1"/>
  <c r="O560" i="8" s="1"/>
  <c r="P560" i="8" s="1"/>
  <c r="J564" i="8"/>
  <c r="M564" i="8" s="1"/>
  <c r="N564" i="8" s="1"/>
  <c r="O564" i="8" s="1"/>
  <c r="P564" i="8" s="1"/>
  <c r="K594" i="8"/>
  <c r="J591" i="8"/>
  <c r="M591" i="8" s="1"/>
  <c r="K598" i="8"/>
  <c r="K608" i="8"/>
  <c r="J604" i="8"/>
  <c r="M604" i="8" s="1"/>
  <c r="K617" i="8"/>
  <c r="K625" i="8"/>
  <c r="K646" i="8"/>
  <c r="J643" i="8"/>
  <c r="M643" i="8" s="1"/>
  <c r="K653" i="8"/>
  <c r="J648" i="8"/>
  <c r="M648" i="8" s="1"/>
  <c r="I654" i="8"/>
  <c r="L654" i="8" s="1"/>
  <c r="K656" i="8"/>
  <c r="K752" i="8"/>
  <c r="J396" i="8"/>
  <c r="M396" i="8" s="1"/>
  <c r="K406" i="8"/>
  <c r="J412" i="8"/>
  <c r="M412" i="8" s="1"/>
  <c r="K422" i="8"/>
  <c r="J428" i="8"/>
  <c r="M428" i="8" s="1"/>
  <c r="J455" i="8"/>
  <c r="M455" i="8" s="1"/>
  <c r="J460" i="8"/>
  <c r="M460" i="8" s="1"/>
  <c r="J465" i="8"/>
  <c r="M465" i="8" s="1"/>
  <c r="J470" i="8"/>
  <c r="M470" i="8" s="1"/>
  <c r="J475" i="8"/>
  <c r="M475" i="8" s="1"/>
  <c r="J480" i="8"/>
  <c r="M480" i="8" s="1"/>
  <c r="J485" i="8"/>
  <c r="M485" i="8" s="1"/>
  <c r="J490" i="8"/>
  <c r="M490" i="8" s="1"/>
  <c r="J495" i="8"/>
  <c r="M495" i="8" s="1"/>
  <c r="K538" i="8"/>
  <c r="K554" i="8"/>
  <c r="K570" i="8"/>
  <c r="J580" i="8"/>
  <c r="M580" i="8" s="1"/>
  <c r="K614" i="8"/>
  <c r="J444" i="8"/>
  <c r="M444" i="8" s="1"/>
  <c r="J500" i="8"/>
  <c r="J505" i="8"/>
  <c r="M505" i="8" s="1"/>
  <c r="J510" i="8"/>
  <c r="M510" i="8" s="1"/>
  <c r="K578" i="8"/>
  <c r="J584" i="8"/>
  <c r="M584" i="8" s="1"/>
  <c r="N584" i="8" s="1"/>
  <c r="O584" i="8" s="1"/>
  <c r="P584" i="8" s="1"/>
  <c r="I604" i="8"/>
  <c r="L604" i="8" s="1"/>
  <c r="K606" i="8"/>
  <c r="I631" i="8"/>
  <c r="L631" i="8" s="1"/>
  <c r="K634" i="8"/>
  <c r="J631" i="8"/>
  <c r="M631" i="8" s="1"/>
  <c r="K641" i="8"/>
  <c r="J636" i="8"/>
  <c r="M636" i="8" s="1"/>
  <c r="I648" i="8"/>
  <c r="L648" i="8" s="1"/>
  <c r="N648" i="8" s="1"/>
  <c r="O648" i="8" s="1"/>
  <c r="P648" i="8" s="1"/>
  <c r="K658" i="8"/>
  <c r="J654" i="8"/>
  <c r="M654" i="8" s="1"/>
  <c r="J666" i="8"/>
  <c r="M666" i="8" s="1"/>
  <c r="J675" i="8"/>
  <c r="M675" i="8" s="1"/>
  <c r="J691" i="8"/>
  <c r="M691" i="8" s="1"/>
  <c r="J712" i="8"/>
  <c r="M712" i="8" s="1"/>
  <c r="N712" i="8" s="1"/>
  <c r="O712" i="8" s="1"/>
  <c r="P712" i="8" s="1"/>
  <c r="J796" i="8"/>
  <c r="M796" i="8" s="1"/>
  <c r="I802" i="8"/>
  <c r="L802" i="8" s="1"/>
  <c r="I810" i="8"/>
  <c r="L810" i="8" s="1"/>
  <c r="K812" i="8"/>
  <c r="K950" i="8"/>
  <c r="I789" i="8"/>
  <c r="L789" i="8" s="1"/>
  <c r="N789" i="8" s="1"/>
  <c r="O789" i="8" s="1"/>
  <c r="P789" i="8" s="1"/>
  <c r="K791" i="8"/>
  <c r="K809" i="8"/>
  <c r="J802" i="8"/>
  <c r="M802" i="8" s="1"/>
  <c r="K819" i="8"/>
  <c r="J816" i="8"/>
  <c r="M816" i="8" s="1"/>
  <c r="K934" i="8"/>
  <c r="K996" i="8"/>
  <c r="K1140" i="8"/>
  <c r="J660" i="8"/>
  <c r="M660" i="8" s="1"/>
  <c r="K668" i="8"/>
  <c r="K677" i="8"/>
  <c r="J683" i="8"/>
  <c r="M683" i="8" s="1"/>
  <c r="K693" i="8"/>
  <c r="J699" i="8"/>
  <c r="M699" i="8" s="1"/>
  <c r="K709" i="8"/>
  <c r="K713" i="8"/>
  <c r="K723" i="8"/>
  <c r="I796" i="8"/>
  <c r="L796" i="8" s="1"/>
  <c r="K798" i="8"/>
  <c r="K914" i="8"/>
  <c r="K966" i="8"/>
  <c r="J621" i="8"/>
  <c r="M621" i="8" s="1"/>
  <c r="K827" i="8"/>
  <c r="K861" i="8"/>
  <c r="J830" i="8"/>
  <c r="M830" i="8" s="1"/>
  <c r="J838" i="8"/>
  <c r="M838" i="8" s="1"/>
  <c r="J846" i="8"/>
  <c r="M846" i="8" s="1"/>
  <c r="I876" i="8"/>
  <c r="L876" i="8" s="1"/>
  <c r="N876" i="8" s="1"/>
  <c r="I926" i="8"/>
  <c r="L926" i="8" s="1"/>
  <c r="N926" i="8" s="1"/>
  <c r="O926" i="8" s="1"/>
  <c r="P926" i="8" s="1"/>
  <c r="J930" i="8"/>
  <c r="M930" i="8" s="1"/>
  <c r="K1058" i="8"/>
  <c r="K1070" i="8"/>
  <c r="K1120" i="8"/>
  <c r="I825" i="8"/>
  <c r="L825" i="8" s="1"/>
  <c r="N825" i="8" s="1"/>
  <c r="O825" i="8" s="1"/>
  <c r="P825" i="8" s="1"/>
  <c r="J834" i="8"/>
  <c r="M834" i="8" s="1"/>
  <c r="J842" i="8"/>
  <c r="M842" i="8" s="1"/>
  <c r="J850" i="8"/>
  <c r="M850" i="8" s="1"/>
  <c r="K865" i="8"/>
  <c r="K919" i="8"/>
  <c r="K924" i="8"/>
  <c r="K1019" i="8"/>
  <c r="K1055" i="8"/>
  <c r="K1067" i="8"/>
  <c r="K1085" i="8"/>
  <c r="K1112" i="8"/>
  <c r="K1144" i="8"/>
  <c r="B1155" i="8"/>
  <c r="C1155" i="8" s="1"/>
  <c r="K1049" i="8"/>
  <c r="K1052" i="8"/>
  <c r="K1061" i="8"/>
  <c r="K1064" i="8"/>
  <c r="K1128" i="8"/>
  <c r="K1136" i="8"/>
  <c r="K958" i="8"/>
  <c r="K977" i="8"/>
  <c r="K989" i="8"/>
  <c r="K1008" i="8"/>
  <c r="K1100" i="8"/>
  <c r="K1132" i="8"/>
  <c r="N604" i="8" l="1"/>
  <c r="O604" i="8" s="1"/>
  <c r="P604" i="8" s="1"/>
  <c r="N1088" i="8"/>
  <c r="O1088" i="8" s="1"/>
  <c r="P1088" i="8" s="1"/>
  <c r="K591" i="8"/>
  <c r="N350" i="8"/>
  <c r="O350" i="8" s="1"/>
  <c r="P350" i="8" s="1"/>
  <c r="N388" i="8"/>
  <c r="O388" i="8" s="1"/>
  <c r="P388" i="8" s="1"/>
  <c r="N78" i="8"/>
  <c r="O78" i="8" s="1"/>
  <c r="P78" i="8" s="1"/>
  <c r="N520" i="8"/>
  <c r="O520" i="8" s="1"/>
  <c r="P520" i="8" s="1"/>
  <c r="N470" i="8"/>
  <c r="O470" i="8" s="1"/>
  <c r="P470" i="8" s="1"/>
  <c r="N229" i="8"/>
  <c r="O229" i="8" s="1"/>
  <c r="P229" i="8" s="1"/>
  <c r="N147" i="8"/>
  <c r="O147" i="8" s="1"/>
  <c r="P147" i="8" s="1"/>
  <c r="N752" i="8"/>
  <c r="O752" i="8" s="1"/>
  <c r="P752" i="8" s="1"/>
  <c r="N259" i="8"/>
  <c r="O259" i="8" s="1"/>
  <c r="P259" i="8" s="1"/>
  <c r="N267" i="8"/>
  <c r="O267" i="8" s="1"/>
  <c r="P267" i="8" s="1"/>
  <c r="N643" i="8"/>
  <c r="O643" i="8" s="1"/>
  <c r="P643" i="8" s="1"/>
  <c r="N576" i="8"/>
  <c r="O576" i="8" s="1"/>
  <c r="P576" i="8" s="1"/>
  <c r="N495" i="8"/>
  <c r="O495" i="8" s="1"/>
  <c r="P495" i="8" s="1"/>
  <c r="N455" i="8"/>
  <c r="O455" i="8" s="1"/>
  <c r="P455" i="8" s="1"/>
  <c r="N412" i="8"/>
  <c r="O412" i="8" s="1"/>
  <c r="P412" i="8" s="1"/>
  <c r="N838" i="8"/>
  <c r="O838" i="8" s="1"/>
  <c r="P838" i="8" s="1"/>
  <c r="N460" i="8"/>
  <c r="O460" i="8" s="1"/>
  <c r="P460" i="8" s="1"/>
  <c r="N179" i="8"/>
  <c r="O179" i="8" s="1"/>
  <c r="P179" i="8" s="1"/>
  <c r="N631" i="8"/>
  <c r="O631" i="8" s="1"/>
  <c r="P631" i="8" s="1"/>
  <c r="N339" i="8"/>
  <c r="O339" i="8" s="1"/>
  <c r="P339" i="8" s="1"/>
  <c r="N444" i="8"/>
  <c r="O444" i="8" s="1"/>
  <c r="P444" i="8" s="1"/>
  <c r="K183" i="8"/>
  <c r="M183" i="8"/>
  <c r="N183" i="8" s="1"/>
  <c r="O183" i="8" s="1"/>
  <c r="P183" i="8" s="1"/>
  <c r="N796" i="8"/>
  <c r="O796" i="8" s="1"/>
  <c r="P796" i="8" s="1"/>
  <c r="K380" i="8"/>
  <c r="L380" i="8"/>
  <c r="N380" i="8" s="1"/>
  <c r="O380" i="8" s="1"/>
  <c r="P380" i="8" s="1"/>
  <c r="N580" i="8"/>
  <c r="O580" i="8" s="1"/>
  <c r="P580" i="8" s="1"/>
  <c r="N556" i="8"/>
  <c r="O556" i="8" s="1"/>
  <c r="P556" i="8" s="1"/>
  <c r="K220" i="8"/>
  <c r="N850" i="8"/>
  <c r="O850" i="8" s="1"/>
  <c r="P850" i="8" s="1"/>
  <c r="K572" i="8"/>
  <c r="L572" i="8"/>
  <c r="N572" i="8" s="1"/>
  <c r="O572" i="8" s="1"/>
  <c r="P572" i="8" s="1"/>
  <c r="N485" i="8"/>
  <c r="O485" i="8" s="1"/>
  <c r="P485" i="8" s="1"/>
  <c r="N404" i="8"/>
  <c r="O404" i="8" s="1"/>
  <c r="P404" i="8" s="1"/>
  <c r="K283" i="8"/>
  <c r="N224" i="8"/>
  <c r="O224" i="8" s="1"/>
  <c r="P224" i="8" s="1"/>
  <c r="N45" i="8"/>
  <c r="O45" i="8" s="1"/>
  <c r="P45" i="8" s="1"/>
  <c r="K869" i="8"/>
  <c r="M869" i="8"/>
  <c r="N869" i="8" s="1"/>
  <c r="O869" i="8" s="1"/>
  <c r="P869" i="8" s="1"/>
  <c r="N830" i="8"/>
  <c r="O830" i="8" s="1"/>
  <c r="P830" i="8" s="1"/>
  <c r="N660" i="8"/>
  <c r="O660" i="8" s="1"/>
  <c r="P660" i="8" s="1"/>
  <c r="N591" i="8"/>
  <c r="O591" i="8" s="1"/>
  <c r="P591" i="8" s="1"/>
  <c r="N510" i="8"/>
  <c r="O510" i="8" s="1"/>
  <c r="P510" i="8" s="1"/>
  <c r="K255" i="8"/>
  <c r="M255" i="8"/>
  <c r="N255" i="8" s="1"/>
  <c r="O255" i="8" s="1"/>
  <c r="P255" i="8" s="1"/>
  <c r="K155" i="8"/>
  <c r="M155" i="8"/>
  <c r="N155" i="8" s="1"/>
  <c r="O155" i="8" s="1"/>
  <c r="P155" i="8" s="1"/>
  <c r="N363" i="8"/>
  <c r="O363" i="8" s="1"/>
  <c r="P363" i="8" s="1"/>
  <c r="N203" i="8"/>
  <c r="O203" i="8" s="1"/>
  <c r="P203" i="8" s="1"/>
  <c r="N816" i="8"/>
  <c r="N922" i="8"/>
  <c r="O922" i="8" s="1"/>
  <c r="P922" i="8" s="1"/>
  <c r="N139" i="8"/>
  <c r="O139" i="8" s="1"/>
  <c r="P139" i="8" s="1"/>
  <c r="N666" i="8"/>
  <c r="O666" i="8" s="1"/>
  <c r="P666" i="8" s="1"/>
  <c r="K131" i="8"/>
  <c r="M131" i="8"/>
  <c r="N131" i="8" s="1"/>
  <c r="O131" i="8" s="1"/>
  <c r="P131" i="8" s="1"/>
  <c r="K58" i="8"/>
  <c r="M58" i="8"/>
  <c r="N58" i="8" s="1"/>
  <c r="O58" i="8" s="1"/>
  <c r="P58" i="8" s="1"/>
  <c r="K15" i="8"/>
  <c r="M15" i="8"/>
  <c r="N846" i="8"/>
  <c r="O846" i="8" s="1"/>
  <c r="P846" i="8" s="1"/>
  <c r="N90" i="8"/>
  <c r="O90" i="8" s="1"/>
  <c r="P90" i="8" s="1"/>
  <c r="K1096" i="8"/>
  <c r="K857" i="8"/>
  <c r="K985" i="8"/>
  <c r="K1000" i="8"/>
  <c r="K910" i="8"/>
  <c r="N810" i="8"/>
  <c r="O810" i="8" s="1"/>
  <c r="P810" i="8" s="1"/>
  <c r="N654" i="8"/>
  <c r="K436" i="8"/>
  <c r="L436" i="8"/>
  <c r="N436" i="8" s="1"/>
  <c r="O436" i="8" s="1"/>
  <c r="P436" i="8" s="1"/>
  <c r="N372" i="8"/>
  <c r="O372" i="8" s="1"/>
  <c r="P372" i="8" s="1"/>
  <c r="N326" i="8"/>
  <c r="O326" i="8" s="1"/>
  <c r="P326" i="8" s="1"/>
  <c r="K267" i="8"/>
  <c r="K18" i="8"/>
  <c r="N842" i="8"/>
  <c r="O842" i="8" s="1"/>
  <c r="P842" i="8" s="1"/>
  <c r="N699" i="8"/>
  <c r="O699" i="8" s="1"/>
  <c r="P699" i="8" s="1"/>
  <c r="N691" i="8"/>
  <c r="O691" i="8" s="1"/>
  <c r="P691" i="8" s="1"/>
  <c r="N475" i="8"/>
  <c r="K279" i="8"/>
  <c r="M279" i="8"/>
  <c r="N279" i="8" s="1"/>
  <c r="O279" i="8" s="1"/>
  <c r="P279" i="8" s="1"/>
  <c r="N211" i="8"/>
  <c r="O211" i="8" s="1"/>
  <c r="P211" i="8" s="1"/>
  <c r="N167" i="8"/>
  <c r="O167" i="8" s="1"/>
  <c r="P167" i="8" s="1"/>
  <c r="K25" i="8"/>
  <c r="L25" i="8"/>
  <c r="N25" i="8" s="1"/>
  <c r="O25" i="8" s="1"/>
  <c r="P25" i="8" s="1"/>
  <c r="N723" i="8"/>
  <c r="O723" i="8" s="1"/>
  <c r="P723" i="8" s="1"/>
  <c r="N865" i="8"/>
  <c r="O865" i="8" s="1"/>
  <c r="P865" i="8" s="1"/>
  <c r="N505" i="8"/>
  <c r="O505" i="8" s="1"/>
  <c r="P505" i="8" s="1"/>
  <c r="N151" i="8"/>
  <c r="O151" i="8" s="1"/>
  <c r="P151" i="8" s="1"/>
  <c r="N66" i="8"/>
  <c r="O66" i="8" s="1"/>
  <c r="P66" i="8" s="1"/>
  <c r="N930" i="8"/>
  <c r="O930" i="8" s="1"/>
  <c r="P930" i="8" s="1"/>
  <c r="N1037" i="8"/>
  <c r="O1037" i="8" s="1"/>
  <c r="P1037" i="8" s="1"/>
  <c r="N636" i="8"/>
  <c r="O636" i="8" s="1"/>
  <c r="P636" i="8" s="1"/>
  <c r="N490" i="8"/>
  <c r="O490" i="8" s="1"/>
  <c r="P490" i="8" s="1"/>
  <c r="K263" i="8"/>
  <c r="M263" i="8"/>
  <c r="K196" i="8"/>
  <c r="M196" i="8"/>
  <c r="N196" i="8" s="1"/>
  <c r="O196" i="8" s="1"/>
  <c r="P196" i="8" s="1"/>
  <c r="K239" i="8"/>
  <c r="M239" i="8"/>
  <c r="N239" i="8" s="1"/>
  <c r="O239" i="8" s="1"/>
  <c r="P239" i="8" s="1"/>
  <c r="K946" i="8"/>
  <c r="K896" i="8"/>
  <c r="O876" i="8"/>
  <c r="P876" i="8" s="1"/>
  <c r="N802" i="8"/>
  <c r="O802" i="8" s="1"/>
  <c r="P802" i="8" s="1"/>
  <c r="K500" i="8"/>
  <c r="M500" i="8"/>
  <c r="N500" i="8" s="1"/>
  <c r="O500" i="8" s="1"/>
  <c r="P500" i="8" s="1"/>
  <c r="N315" i="8"/>
  <c r="O315" i="8" s="1"/>
  <c r="P315" i="8" s="1"/>
  <c r="N396" i="8"/>
  <c r="O396" i="8" s="1"/>
  <c r="P396" i="8" s="1"/>
  <c r="K224" i="8"/>
  <c r="K1045" i="8"/>
  <c r="N834" i="8"/>
  <c r="O834" i="8" s="1"/>
  <c r="P834" i="8" s="1"/>
  <c r="N773" i="8"/>
  <c r="N683" i="8"/>
  <c r="O683" i="8" s="1"/>
  <c r="P683" i="8" s="1"/>
  <c r="N675" i="8"/>
  <c r="O675" i="8" s="1"/>
  <c r="P675" i="8" s="1"/>
  <c r="N465" i="8"/>
  <c r="O465" i="8" s="1"/>
  <c r="P465" i="8" s="1"/>
  <c r="N428" i="8"/>
  <c r="O428" i="8" s="1"/>
  <c r="P428" i="8" s="1"/>
  <c r="K247" i="8"/>
  <c r="M247" i="8"/>
  <c r="N247" i="8" s="1"/>
  <c r="O247" i="8" s="1"/>
  <c r="P247" i="8" s="1"/>
  <c r="K139" i="8"/>
  <c r="N82" i="8"/>
  <c r="O82" i="8" s="1"/>
  <c r="P82" i="8" s="1"/>
  <c r="K22" i="8"/>
  <c r="M22" i="8"/>
  <c r="N22" i="8" s="1"/>
  <c r="O22" i="8" s="1"/>
  <c r="P22" i="8" s="1"/>
  <c r="N99" i="8"/>
  <c r="O99" i="8" s="1"/>
  <c r="P99" i="8" s="1"/>
  <c r="N480" i="8"/>
  <c r="O480" i="8" s="1"/>
  <c r="P480" i="8" s="1"/>
  <c r="N263" i="8"/>
  <c r="O263" i="8" s="1"/>
  <c r="P263" i="8" s="1"/>
  <c r="N216" i="8"/>
  <c r="O216" i="8" s="1"/>
  <c r="P216" i="8" s="1"/>
  <c r="N716" i="8"/>
  <c r="O716" i="8" s="1"/>
  <c r="P716" i="8" s="1"/>
  <c r="N621" i="8"/>
  <c r="O621" i="8" s="1"/>
  <c r="P621" i="8" s="1"/>
  <c r="K259" i="8"/>
  <c r="N857" i="8"/>
  <c r="O857" i="8" s="1"/>
  <c r="P857" i="8" s="1"/>
  <c r="N420" i="8"/>
  <c r="O420" i="8" s="1"/>
  <c r="P420" i="8" s="1"/>
  <c r="N70" i="8"/>
  <c r="O70" i="8" s="1"/>
  <c r="P70" i="8" s="1"/>
  <c r="K192" i="8"/>
  <c r="L192" i="8"/>
  <c r="N192" i="8" s="1"/>
  <c r="O192" i="8" s="1"/>
  <c r="P192" i="8" s="1"/>
  <c r="K1037" i="8"/>
  <c r="K973" i="8"/>
  <c r="K930" i="8"/>
  <c r="K295" i="8"/>
  <c r="K30" i="8"/>
  <c r="K45" i="8"/>
  <c r="K1012" i="8"/>
  <c r="K1081" i="8"/>
  <c r="K942" i="8"/>
  <c r="K1108" i="8"/>
  <c r="K1015" i="8"/>
  <c r="K918" i="8"/>
  <c r="K1088" i="8"/>
  <c r="K902" i="8"/>
  <c r="K707" i="8"/>
  <c r="K302" i="8"/>
  <c r="K203" i="8"/>
  <c r="K62" i="8"/>
  <c r="K119" i="8"/>
  <c r="K1116" i="8"/>
  <c r="K962" i="8"/>
  <c r="K66" i="8"/>
  <c r="C1154" i="8"/>
  <c r="C1153" i="8"/>
  <c r="K90" i="8"/>
  <c r="P1075" i="8"/>
  <c r="T197" i="3" s="1"/>
  <c r="R197" i="3" s="1"/>
  <c r="K388" i="8"/>
  <c r="K315" i="8"/>
  <c r="K1124" i="8"/>
  <c r="K780" i="8"/>
  <c r="K760" i="8"/>
  <c r="K742" i="8"/>
  <c r="K576" i="8"/>
  <c r="K834" i="8"/>
  <c r="K683" i="8"/>
  <c r="K773" i="8"/>
  <c r="K1024" i="8"/>
  <c r="K1004" i="8"/>
  <c r="K716" i="8"/>
  <c r="K163" i="8"/>
  <c r="K143" i="8"/>
  <c r="K825" i="8"/>
  <c r="K926" i="8"/>
  <c r="K846" i="8"/>
  <c r="K830" i="8"/>
  <c r="K816" i="8"/>
  <c r="K842" i="8"/>
  <c r="K802" i="8"/>
  <c r="K648" i="8"/>
  <c r="K584" i="8"/>
  <c r="K675" i="8"/>
  <c r="K660" i="8"/>
  <c r="K643" i="8"/>
  <c r="K691" i="8"/>
  <c r="K544" i="8"/>
  <c r="K505" i="8"/>
  <c r="K540" i="8"/>
  <c r="K404" i="8"/>
  <c r="K490" i="8"/>
  <c r="K363" i="8"/>
  <c r="K568" i="8"/>
  <c r="K536" i="8"/>
  <c r="K475" i="8"/>
  <c r="K412" i="8"/>
  <c r="K287" i="8"/>
  <c r="K151" i="8"/>
  <c r="K104" i="8"/>
  <c r="K147" i="8"/>
  <c r="K216" i="8"/>
  <c r="K82" i="8"/>
  <c r="K37" i="8"/>
  <c r="K631" i="8"/>
  <c r="K621" i="8"/>
  <c r="K532" i="8"/>
  <c r="K460" i="8"/>
  <c r="K580" i="8"/>
  <c r="K556" i="8"/>
  <c r="K524" i="8"/>
  <c r="K455" i="8"/>
  <c r="K396" i="8"/>
  <c r="K99" i="8"/>
  <c r="K78" i="8"/>
  <c r="K20" i="8"/>
  <c r="K876" i="8"/>
  <c r="K838" i="8"/>
  <c r="M890" i="8"/>
  <c r="K796" i="8"/>
  <c r="K666" i="8"/>
  <c r="K699" i="8"/>
  <c r="K654" i="8"/>
  <c r="K636" i="8"/>
  <c r="K560" i="8"/>
  <c r="K528" i="8"/>
  <c r="K480" i="8"/>
  <c r="K350" i="8"/>
  <c r="K485" i="8"/>
  <c r="K548" i="8"/>
  <c r="K339" i="8"/>
  <c r="K444" i="8"/>
  <c r="K211" i="8"/>
  <c r="K159" i="8"/>
  <c r="K113" i="8"/>
  <c r="K53" i="8"/>
  <c r="L890" i="8"/>
  <c r="C1152" i="8"/>
  <c r="K850" i="8"/>
  <c r="K789" i="8"/>
  <c r="K810" i="8"/>
  <c r="K604" i="8"/>
  <c r="K712" i="8"/>
  <c r="K520" i="8"/>
  <c r="K564" i="8"/>
  <c r="K510" i="8"/>
  <c r="K470" i="8"/>
  <c r="K372" i="8"/>
  <c r="K291" i="8"/>
  <c r="K552" i="8"/>
  <c r="K465" i="8"/>
  <c r="K326" i="8"/>
  <c r="K420" i="8"/>
  <c r="K341" i="8"/>
  <c r="K495" i="8"/>
  <c r="K428" i="8"/>
  <c r="K207" i="8"/>
  <c r="K125" i="8"/>
  <c r="K167" i="8"/>
  <c r="K229" i="8"/>
  <c r="K95" i="8"/>
  <c r="N15" i="8"/>
  <c r="O15" i="8" s="1"/>
  <c r="O773" i="8" l="1"/>
  <c r="P773" i="8" s="1"/>
  <c r="O654" i="8"/>
  <c r="P654" i="8" s="1"/>
  <c r="O475" i="8"/>
  <c r="P475" i="8" s="1"/>
  <c r="O816" i="8"/>
  <c r="P816" i="8" s="1"/>
  <c r="M821" i="8"/>
  <c r="P971" i="8"/>
  <c r="T194" i="3" s="1"/>
  <c r="P855" i="8"/>
  <c r="T188" i="3" s="1"/>
  <c r="P994" i="8"/>
  <c r="T195" i="3" s="1"/>
  <c r="P1079" i="8"/>
  <c r="T198" i="3" s="1"/>
  <c r="P1043" i="8"/>
  <c r="T196" i="3" s="1"/>
  <c r="P1094" i="8"/>
  <c r="T199" i="3" s="1"/>
  <c r="N890" i="8"/>
  <c r="N11" i="8"/>
  <c r="L11" i="8"/>
  <c r="P874" i="8"/>
  <c r="T189" i="3" s="1"/>
  <c r="P189" i="3" s="1"/>
  <c r="M11" i="8"/>
  <c r="L821" i="8"/>
  <c r="P596" i="8"/>
  <c r="T182" i="3" s="1"/>
  <c r="P900" i="8"/>
  <c r="T193" i="3" s="1"/>
  <c r="M1148" i="8" l="1"/>
  <c r="L193" i="3"/>
  <c r="J193" i="3"/>
  <c r="H193" i="3"/>
  <c r="F193" i="3"/>
  <c r="P193" i="3"/>
  <c r="N193" i="3"/>
  <c r="P629" i="8"/>
  <c r="T183" i="3" s="1"/>
  <c r="P721" i="8"/>
  <c r="T184" i="3" s="1"/>
  <c r="R198" i="3"/>
  <c r="P198" i="3"/>
  <c r="P41" i="8"/>
  <c r="T178" i="3" s="1"/>
  <c r="R195" i="3"/>
  <c r="P195" i="3"/>
  <c r="N195" i="3"/>
  <c r="R199" i="3"/>
  <c r="P199" i="3"/>
  <c r="N199" i="3"/>
  <c r="L199" i="3"/>
  <c r="P188" i="3"/>
  <c r="N188" i="3"/>
  <c r="N182" i="3"/>
  <c r="P182" i="3"/>
  <c r="R182" i="3"/>
  <c r="J196" i="3"/>
  <c r="N196" i="3"/>
  <c r="L196" i="3"/>
  <c r="P196" i="3"/>
  <c r="P194" i="3"/>
  <c r="J194" i="3"/>
  <c r="N194" i="3"/>
  <c r="H194" i="3"/>
  <c r="L194" i="3"/>
  <c r="P235" i="8"/>
  <c r="T179" i="3" s="1"/>
  <c r="P516" i="8"/>
  <c r="T181" i="3" s="1"/>
  <c r="O11" i="8"/>
  <c r="O890" i="8"/>
  <c r="L1148" i="8"/>
  <c r="O821" i="8"/>
  <c r="N821" i="8"/>
  <c r="N1148" i="8" s="1"/>
  <c r="P15" i="8"/>
  <c r="P13" i="8" s="1"/>
  <c r="P892" i="8"/>
  <c r="P453" i="8"/>
  <c r="T180" i="3" s="1"/>
  <c r="O1148" i="8" l="1"/>
  <c r="P11" i="8"/>
  <c r="C30" i="1" s="1"/>
  <c r="T177" i="3"/>
  <c r="L184" i="3"/>
  <c r="J184" i="3"/>
  <c r="P184" i="3"/>
  <c r="N184" i="3"/>
  <c r="L178" i="3"/>
  <c r="J178" i="3"/>
  <c r="N178" i="3"/>
  <c r="N183" i="3"/>
  <c r="R183" i="3"/>
  <c r="P183" i="3"/>
  <c r="J180" i="3"/>
  <c r="N180" i="3"/>
  <c r="L180" i="3"/>
  <c r="H180" i="3"/>
  <c r="P180" i="3"/>
  <c r="L181" i="3"/>
  <c r="J181" i="3"/>
  <c r="P181" i="3"/>
  <c r="N181" i="3"/>
  <c r="P890" i="8"/>
  <c r="C32" i="1" s="1"/>
  <c r="T192" i="3"/>
  <c r="J179" i="3"/>
  <c r="L179" i="3"/>
  <c r="H179" i="3"/>
  <c r="P179" i="3"/>
  <c r="F179" i="3"/>
  <c r="N179" i="3"/>
  <c r="P823" i="8"/>
  <c r="P821" i="8" l="1"/>
  <c r="T187" i="3"/>
  <c r="F192" i="3"/>
  <c r="T191" i="3"/>
  <c r="N177" i="3"/>
  <c r="F177" i="3"/>
  <c r="L177" i="3"/>
  <c r="D177" i="3"/>
  <c r="R177" i="3"/>
  <c r="J177" i="3"/>
  <c r="T176" i="3"/>
  <c r="P177" i="3"/>
  <c r="H177" i="3"/>
  <c r="P1148" i="8" l="1"/>
  <c r="C31" i="1"/>
  <c r="N187" i="3"/>
  <c r="F187" i="3"/>
  <c r="P187" i="3"/>
  <c r="T186" i="3"/>
  <c r="J187" i="3"/>
  <c r="H187" i="3"/>
  <c r="L187" i="3"/>
  <c r="D7" i="4" l="1"/>
  <c r="F48" i="2" s="1"/>
  <c r="I7" i="4"/>
  <c r="N7" i="4"/>
  <c r="D8" i="4"/>
  <c r="I8" i="4"/>
  <c r="N8" i="4"/>
  <c r="B9" i="4"/>
  <c r="D9" i="4" s="1"/>
  <c r="F46" i="2" s="1"/>
  <c r="G9" i="4"/>
  <c r="I9" i="4" s="1"/>
  <c r="N9" i="4"/>
  <c r="B10" i="4"/>
  <c r="D10" i="4"/>
  <c r="F54" i="2" s="1"/>
  <c r="G10" i="4"/>
  <c r="I10" i="4"/>
  <c r="F92" i="2" s="1"/>
  <c r="L10" i="4"/>
  <c r="N10" i="4"/>
  <c r="B11" i="4"/>
  <c r="D11" i="4"/>
  <c r="F52" i="2" s="1"/>
  <c r="G11" i="4"/>
  <c r="I11" i="4"/>
  <c r="F90" i="2" s="1"/>
  <c r="N11" i="4"/>
  <c r="D12" i="4"/>
  <c r="I12" i="4"/>
  <c r="N12" i="4"/>
  <c r="D13" i="4"/>
  <c r="I13" i="4"/>
  <c r="N13" i="4"/>
  <c r="D14" i="4"/>
  <c r="I14" i="4"/>
  <c r="N14" i="4"/>
  <c r="D15" i="4"/>
  <c r="I15" i="4"/>
  <c r="B16" i="4"/>
  <c r="D16" i="4"/>
  <c r="F70" i="2" s="1"/>
  <c r="G16" i="4"/>
  <c r="I16" i="4"/>
  <c r="F94" i="2" s="1"/>
  <c r="N16" i="4"/>
  <c r="B17" i="4"/>
  <c r="D17" i="4" s="1"/>
  <c r="D18" i="4"/>
  <c r="D19" i="4"/>
  <c r="F76" i="2" s="1"/>
  <c r="B20" i="4"/>
  <c r="D20" i="4" s="1"/>
  <c r="D21" i="4"/>
  <c r="G26" i="4"/>
  <c r="I26" i="4"/>
  <c r="I31" i="4" s="1"/>
  <c r="F1290" i="2" s="1"/>
  <c r="L26" i="4"/>
  <c r="M26" i="4" s="1"/>
  <c r="I27" i="4"/>
  <c r="L27" i="4"/>
  <c r="G28" i="4"/>
  <c r="G31" i="4" s="1"/>
  <c r="I28" i="4"/>
  <c r="L28" i="4"/>
  <c r="M28" i="4" s="1"/>
  <c r="G29" i="4"/>
  <c r="I29" i="4"/>
  <c r="L29" i="4"/>
  <c r="M29" i="4" s="1"/>
  <c r="I30" i="4"/>
  <c r="L30" i="4"/>
  <c r="M30" i="4" s="1"/>
  <c r="F31" i="4"/>
  <c r="H31" i="4"/>
  <c r="J31" i="4"/>
  <c r="K31" i="4"/>
  <c r="F35" i="4"/>
  <c r="H35" i="4"/>
  <c r="H59" i="4" s="1"/>
  <c r="F534" i="2" s="1"/>
  <c r="L534" i="2" s="1"/>
  <c r="J35" i="4"/>
  <c r="L35" i="4"/>
  <c r="M35" i="4" s="1"/>
  <c r="F36" i="4"/>
  <c r="H36" i="4"/>
  <c r="J36" i="4"/>
  <c r="L36" i="4"/>
  <c r="M36" i="4" s="1"/>
  <c r="F37" i="4"/>
  <c r="F59" i="4" s="1"/>
  <c r="F624" i="2" s="1"/>
  <c r="H37" i="4"/>
  <c r="J37" i="4"/>
  <c r="J59" i="4" s="1"/>
  <c r="F662" i="2" s="1"/>
  <c r="L37" i="4"/>
  <c r="M37" i="4" s="1"/>
  <c r="F38" i="4"/>
  <c r="H38" i="4"/>
  <c r="J38" i="4"/>
  <c r="L38" i="4"/>
  <c r="M38" i="4" s="1"/>
  <c r="F39" i="4"/>
  <c r="H39" i="4"/>
  <c r="K39" i="4"/>
  <c r="M39" i="4"/>
  <c r="F40" i="4"/>
  <c r="H40" i="4"/>
  <c r="K40" i="4"/>
  <c r="F41" i="4"/>
  <c r="H41" i="4"/>
  <c r="K41" i="4"/>
  <c r="F42" i="4"/>
  <c r="H42" i="4"/>
  <c r="J42" i="4"/>
  <c r="L42" i="4"/>
  <c r="M42" i="4" s="1"/>
  <c r="F43" i="4"/>
  <c r="H43" i="4"/>
  <c r="J43" i="4"/>
  <c r="L43" i="4"/>
  <c r="M43" i="4"/>
  <c r="F44" i="4"/>
  <c r="H44" i="4"/>
  <c r="J44" i="4"/>
  <c r="L44" i="4"/>
  <c r="M44" i="4" s="1"/>
  <c r="F45" i="4"/>
  <c r="H45" i="4"/>
  <c r="K45" i="4"/>
  <c r="F46" i="4"/>
  <c r="H46" i="4"/>
  <c r="K46" i="4"/>
  <c r="F47" i="4"/>
  <c r="H47" i="4"/>
  <c r="K47" i="4"/>
  <c r="F48" i="4"/>
  <c r="H48" i="4"/>
  <c r="J48" i="4"/>
  <c r="L48" i="4"/>
  <c r="M48" i="4" s="1"/>
  <c r="F49" i="4"/>
  <c r="H49" i="4"/>
  <c r="K49" i="4"/>
  <c r="F50" i="4"/>
  <c r="H50" i="4"/>
  <c r="K50" i="4"/>
  <c r="F51" i="4"/>
  <c r="H51" i="4"/>
  <c r="J51" i="4"/>
  <c r="L51" i="4"/>
  <c r="M51" i="4" s="1"/>
  <c r="F52" i="4"/>
  <c r="H52" i="4"/>
  <c r="J52" i="4"/>
  <c r="L52" i="4"/>
  <c r="M52" i="4" s="1"/>
  <c r="F53" i="4"/>
  <c r="H53" i="4"/>
  <c r="K53" i="4"/>
  <c r="F54" i="4"/>
  <c r="H54" i="4"/>
  <c r="K54" i="4"/>
  <c r="F55" i="4"/>
  <c r="H55" i="4"/>
  <c r="J55" i="4"/>
  <c r="L55" i="4"/>
  <c r="M55" i="4"/>
  <c r="F56" i="4"/>
  <c r="H56" i="4"/>
  <c r="J56" i="4"/>
  <c r="L56" i="4"/>
  <c r="M56" i="4" s="1"/>
  <c r="F57" i="4"/>
  <c r="H57" i="4"/>
  <c r="J57" i="4"/>
  <c r="L57" i="4"/>
  <c r="M57" i="4" s="1"/>
  <c r="I58" i="4"/>
  <c r="L58" i="4"/>
  <c r="G59" i="4"/>
  <c r="I59" i="4"/>
  <c r="O59" i="4"/>
  <c r="P59" i="4"/>
  <c r="Q59" i="4"/>
  <c r="R59" i="4"/>
  <c r="S59" i="4"/>
  <c r="T59" i="4"/>
  <c r="U59" i="4"/>
  <c r="V59" i="4"/>
  <c r="F873" i="2" s="1"/>
  <c r="K873" i="2" s="1"/>
  <c r="W59" i="4"/>
  <c r="X59" i="4"/>
  <c r="F861" i="2" s="1"/>
  <c r="Y59" i="4"/>
  <c r="Z59" i="4"/>
  <c r="AA59" i="4"/>
  <c r="AB59" i="4"/>
  <c r="F878" i="2" s="1"/>
  <c r="AC59" i="4"/>
  <c r="AD59" i="4"/>
  <c r="F853" i="2" s="1"/>
  <c r="AE59" i="4"/>
  <c r="AF59" i="4"/>
  <c r="F837" i="2" s="1"/>
  <c r="AG59" i="4"/>
  <c r="AH59" i="4"/>
  <c r="AI59" i="4"/>
  <c r="AJ59" i="4"/>
  <c r="AK59" i="4"/>
  <c r="AL59" i="4"/>
  <c r="F913" i="2" s="1"/>
  <c r="F63" i="4"/>
  <c r="H63" i="4"/>
  <c r="H82" i="4" s="1"/>
  <c r="F539" i="2" s="1"/>
  <c r="L539" i="2" s="1"/>
  <c r="J63" i="4"/>
  <c r="L63" i="4"/>
  <c r="M63" i="4" s="1"/>
  <c r="F64" i="4"/>
  <c r="H64" i="4"/>
  <c r="K64" i="4"/>
  <c r="F65" i="4"/>
  <c r="H65" i="4"/>
  <c r="J65" i="4"/>
  <c r="L65" i="4"/>
  <c r="M65" i="4" s="1"/>
  <c r="F66" i="4"/>
  <c r="H66" i="4"/>
  <c r="J66" i="4"/>
  <c r="L66" i="4"/>
  <c r="M66" i="4" s="1"/>
  <c r="F67" i="4"/>
  <c r="H67" i="4"/>
  <c r="J67" i="4"/>
  <c r="L67" i="4"/>
  <c r="M67" i="4" s="1"/>
  <c r="F68" i="4"/>
  <c r="H68" i="4"/>
  <c r="J68" i="4"/>
  <c r="L68" i="4"/>
  <c r="M68" i="4" s="1"/>
  <c r="F69" i="4"/>
  <c r="H69" i="4"/>
  <c r="K69" i="4"/>
  <c r="F70" i="4"/>
  <c r="H70" i="4"/>
  <c r="K70" i="4"/>
  <c r="F71" i="4"/>
  <c r="F82" i="4" s="1"/>
  <c r="F635" i="2" s="1"/>
  <c r="H71" i="4"/>
  <c r="K71" i="4"/>
  <c r="F72" i="4"/>
  <c r="H72" i="4"/>
  <c r="J72" i="4"/>
  <c r="L72" i="4"/>
  <c r="M72" i="4" s="1"/>
  <c r="F73" i="4"/>
  <c r="H73" i="4"/>
  <c r="J73" i="4"/>
  <c r="L73" i="4"/>
  <c r="M73" i="4" s="1"/>
  <c r="F74" i="4"/>
  <c r="H74" i="4"/>
  <c r="J74" i="4"/>
  <c r="L74" i="4"/>
  <c r="M74" i="4" s="1"/>
  <c r="F75" i="4"/>
  <c r="H75" i="4"/>
  <c r="K75" i="4"/>
  <c r="F76" i="4"/>
  <c r="H76" i="4"/>
  <c r="J76" i="4"/>
  <c r="L76" i="4"/>
  <c r="M76" i="4" s="1"/>
  <c r="F77" i="4"/>
  <c r="H77" i="4"/>
  <c r="J77" i="4"/>
  <c r="L77" i="4"/>
  <c r="M77" i="4" s="1"/>
  <c r="F78" i="4"/>
  <c r="H78" i="4"/>
  <c r="K78" i="4"/>
  <c r="F79" i="4"/>
  <c r="H79" i="4"/>
  <c r="K79" i="4"/>
  <c r="G80" i="4"/>
  <c r="G82" i="4" s="1"/>
  <c r="I80" i="4"/>
  <c r="I82" i="4" s="1"/>
  <c r="L80" i="4"/>
  <c r="F81" i="4"/>
  <c r="H81" i="4"/>
  <c r="K81" i="4"/>
  <c r="J82" i="4"/>
  <c r="O82" i="4"/>
  <c r="F919" i="2" s="1"/>
  <c r="P82" i="4"/>
  <c r="Q82" i="4"/>
  <c r="F35" i="2" s="1"/>
  <c r="K35" i="2" s="1"/>
  <c r="R82" i="4"/>
  <c r="S82" i="4"/>
  <c r="F972" i="2" s="1"/>
  <c r="T82" i="4"/>
  <c r="U82" i="4"/>
  <c r="F1055" i="2" s="1"/>
  <c r="F1062" i="2" s="1"/>
  <c r="V82" i="4"/>
  <c r="W82" i="4"/>
  <c r="X82" i="4"/>
  <c r="Y82" i="4"/>
  <c r="Z82" i="4"/>
  <c r="AA82" i="4"/>
  <c r="F1068" i="2" s="1"/>
  <c r="K1068" i="2" s="1"/>
  <c r="AB82" i="4"/>
  <c r="AC82" i="4"/>
  <c r="AD82" i="4"/>
  <c r="AE82" i="4"/>
  <c r="AF82" i="4"/>
  <c r="AG82" i="4"/>
  <c r="F1019" i="2" s="1"/>
  <c r="AH82" i="4"/>
  <c r="AI82" i="4"/>
  <c r="AJ82" i="4"/>
  <c r="AK82" i="4"/>
  <c r="F953" i="2" s="1"/>
  <c r="AL82" i="4"/>
  <c r="F85" i="4"/>
  <c r="H85" i="4"/>
  <c r="J85" i="4"/>
  <c r="L85" i="4"/>
  <c r="M85" i="4" s="1"/>
  <c r="F86" i="4"/>
  <c r="H86" i="4"/>
  <c r="K86" i="4"/>
  <c r="F87" i="4"/>
  <c r="H87" i="4"/>
  <c r="J87" i="4"/>
  <c r="L87" i="4"/>
  <c r="M87" i="4" s="1"/>
  <c r="F88" i="4"/>
  <c r="H88" i="4"/>
  <c r="J88" i="4"/>
  <c r="L88" i="4"/>
  <c r="M88" i="4" s="1"/>
  <c r="F89" i="4"/>
  <c r="H89" i="4"/>
  <c r="J89" i="4"/>
  <c r="L89" i="4"/>
  <c r="M89" i="4" s="1"/>
  <c r="F90" i="4"/>
  <c r="H90" i="4"/>
  <c r="J90" i="4"/>
  <c r="L90" i="4"/>
  <c r="M90" i="4" s="1"/>
  <c r="F91" i="4"/>
  <c r="H91" i="4"/>
  <c r="K91" i="4"/>
  <c r="F92" i="4"/>
  <c r="H92" i="4"/>
  <c r="K92" i="4"/>
  <c r="F93" i="4"/>
  <c r="H93" i="4"/>
  <c r="K93" i="4"/>
  <c r="F94" i="4"/>
  <c r="H94" i="4"/>
  <c r="J94" i="4"/>
  <c r="L94" i="4"/>
  <c r="M94" i="4" s="1"/>
  <c r="F95" i="4"/>
  <c r="H95" i="4"/>
  <c r="J95" i="4"/>
  <c r="L95" i="4"/>
  <c r="M95" i="4" s="1"/>
  <c r="F96" i="4"/>
  <c r="H96" i="4"/>
  <c r="J96" i="4"/>
  <c r="L96" i="4"/>
  <c r="M96" i="4" s="1"/>
  <c r="F97" i="4"/>
  <c r="H97" i="4"/>
  <c r="K97" i="4"/>
  <c r="F98" i="4"/>
  <c r="H98" i="4"/>
  <c r="J98" i="4"/>
  <c r="L98" i="4"/>
  <c r="M98" i="4" s="1"/>
  <c r="F99" i="4"/>
  <c r="H99" i="4"/>
  <c r="J99" i="4"/>
  <c r="L99" i="4"/>
  <c r="M99" i="4" s="1"/>
  <c r="F100" i="4"/>
  <c r="H100" i="4"/>
  <c r="K100" i="4"/>
  <c r="F101" i="4"/>
  <c r="H101" i="4"/>
  <c r="K101" i="4"/>
  <c r="G102" i="4"/>
  <c r="G104" i="4" s="1"/>
  <c r="I102" i="4"/>
  <c r="I104" i="4" s="1"/>
  <c r="F1326" i="2" s="1"/>
  <c r="J102" i="4"/>
  <c r="L102" i="4"/>
  <c r="F103" i="4"/>
  <c r="H103" i="4"/>
  <c r="K103" i="4"/>
  <c r="K104" i="4"/>
  <c r="O104" i="4"/>
  <c r="P104" i="4"/>
  <c r="Q104" i="4"/>
  <c r="R104" i="4"/>
  <c r="S104" i="4"/>
  <c r="T104" i="4"/>
  <c r="F1150" i="2" s="1"/>
  <c r="U104" i="4"/>
  <c r="V104" i="4"/>
  <c r="F1163" i="2" s="1"/>
  <c r="W104" i="4"/>
  <c r="X104" i="4"/>
  <c r="F1204" i="2" s="1"/>
  <c r="Y104" i="4"/>
  <c r="Z104" i="4"/>
  <c r="AA104" i="4"/>
  <c r="AB104" i="4"/>
  <c r="F1210" i="2" s="1"/>
  <c r="K1210" i="2" s="1"/>
  <c r="AC104" i="4"/>
  <c r="AD104" i="4"/>
  <c r="AE104" i="4"/>
  <c r="AF104" i="4"/>
  <c r="AG104" i="4"/>
  <c r="AH104" i="4"/>
  <c r="AI104" i="4"/>
  <c r="AJ104" i="4"/>
  <c r="AK104" i="4"/>
  <c r="AL104" i="4"/>
  <c r="F1243" i="2" s="1"/>
  <c r="I108" i="4"/>
  <c r="I112" i="4" s="1"/>
  <c r="L108" i="4"/>
  <c r="N108" i="4" s="1"/>
  <c r="M108" i="4"/>
  <c r="I109" i="4"/>
  <c r="L109" i="4"/>
  <c r="N109" i="4" s="1"/>
  <c r="M109" i="4"/>
  <c r="L110" i="4"/>
  <c r="N110" i="4" s="1"/>
  <c r="M110" i="4"/>
  <c r="D112" i="4"/>
  <c r="D116" i="4"/>
  <c r="N116" i="4"/>
  <c r="B117" i="4"/>
  <c r="D117" i="4" s="1"/>
  <c r="I117" i="4"/>
  <c r="N117" i="4"/>
  <c r="I118" i="4"/>
  <c r="N118" i="4"/>
  <c r="D125" i="4"/>
  <c r="I131" i="4"/>
  <c r="I133" i="4" s="1"/>
  <c r="F1292" i="2" s="1"/>
  <c r="J131" i="4"/>
  <c r="L131" i="4"/>
  <c r="L133" i="4" s="1"/>
  <c r="F135" i="2" s="1"/>
  <c r="I132" i="4"/>
  <c r="J132" i="4"/>
  <c r="L132" i="4"/>
  <c r="I136" i="4"/>
  <c r="J136" i="4"/>
  <c r="L136" i="4"/>
  <c r="N136" i="4"/>
  <c r="O136" i="4"/>
  <c r="I137" i="4"/>
  <c r="I151" i="4" s="1"/>
  <c r="F1302" i="2" s="1"/>
  <c r="I138" i="4"/>
  <c r="I139" i="4"/>
  <c r="N139" i="4"/>
  <c r="O139" i="4"/>
  <c r="I140" i="4"/>
  <c r="G141" i="4"/>
  <c r="J141" i="4"/>
  <c r="L141" i="4"/>
  <c r="N141" i="4"/>
  <c r="O141" i="4"/>
  <c r="G142" i="4"/>
  <c r="J143" i="4"/>
  <c r="L143" i="4"/>
  <c r="G144" i="4"/>
  <c r="G151" i="4" s="1"/>
  <c r="I144" i="4"/>
  <c r="H145" i="4"/>
  <c r="H151" i="4" s="1"/>
  <c r="F657" i="2" s="1"/>
  <c r="J145" i="4"/>
  <c r="K145" i="4" s="1"/>
  <c r="L145" i="4"/>
  <c r="M145" i="4" s="1"/>
  <c r="N145" i="4"/>
  <c r="O145" i="4"/>
  <c r="H146" i="4"/>
  <c r="J146" i="4"/>
  <c r="K146" i="4" s="1"/>
  <c r="L146" i="4"/>
  <c r="M146" i="4" s="1"/>
  <c r="N146" i="4"/>
  <c r="O146" i="4"/>
  <c r="H147" i="4"/>
  <c r="J147" i="4"/>
  <c r="K147" i="4" s="1"/>
  <c r="L147" i="4"/>
  <c r="M147" i="4"/>
  <c r="N147" i="4"/>
  <c r="O147" i="4"/>
  <c r="H148" i="4"/>
  <c r="J148" i="4"/>
  <c r="K148" i="4" s="1"/>
  <c r="L148" i="4"/>
  <c r="M148" i="4" s="1"/>
  <c r="N148" i="4"/>
  <c r="O148" i="4"/>
  <c r="H149" i="4"/>
  <c r="J149" i="4"/>
  <c r="K149" i="4" s="1"/>
  <c r="L149" i="4"/>
  <c r="M149" i="4" s="1"/>
  <c r="N149" i="4"/>
  <c r="O149" i="4"/>
  <c r="H150" i="4"/>
  <c r="J150" i="4"/>
  <c r="K150" i="4" s="1"/>
  <c r="L150" i="4"/>
  <c r="M150" i="4" s="1"/>
  <c r="N150" i="4"/>
  <c r="O150" i="4"/>
  <c r="F151" i="4"/>
  <c r="N151" i="4"/>
  <c r="P151" i="4"/>
  <c r="I154" i="4"/>
  <c r="I155" i="4"/>
  <c r="I156" i="4"/>
  <c r="I168" i="4" s="1"/>
  <c r="F1316" i="2" s="1"/>
  <c r="I157" i="4"/>
  <c r="N157" i="4"/>
  <c r="N168" i="4" s="1"/>
  <c r="O157" i="4"/>
  <c r="I158" i="4"/>
  <c r="G160" i="4"/>
  <c r="G168" i="4" s="1"/>
  <c r="J160" i="4"/>
  <c r="L160" i="4"/>
  <c r="N160" i="4"/>
  <c r="O160" i="4"/>
  <c r="H162" i="4"/>
  <c r="H168" i="4" s="1"/>
  <c r="F676" i="2" s="1"/>
  <c r="J162" i="4"/>
  <c r="K162" i="4" s="1"/>
  <c r="L162" i="4"/>
  <c r="M162" i="4" s="1"/>
  <c r="N162" i="4"/>
  <c r="O162" i="4"/>
  <c r="H163" i="4"/>
  <c r="J163" i="4"/>
  <c r="K163" i="4" s="1"/>
  <c r="L163" i="4"/>
  <c r="M163" i="4"/>
  <c r="N163" i="4"/>
  <c r="O163" i="4"/>
  <c r="H164" i="4"/>
  <c r="J164" i="4"/>
  <c r="K164" i="4" s="1"/>
  <c r="L164" i="4"/>
  <c r="M164" i="4" s="1"/>
  <c r="N164" i="4"/>
  <c r="O164" i="4"/>
  <c r="H165" i="4"/>
  <c r="J165" i="4"/>
  <c r="K165" i="4" s="1"/>
  <c r="L165" i="4"/>
  <c r="M165" i="4" s="1"/>
  <c r="N165" i="4"/>
  <c r="O165" i="4"/>
  <c r="P165" i="4"/>
  <c r="H166" i="4"/>
  <c r="J166" i="4"/>
  <c r="K166" i="4" s="1"/>
  <c r="L166" i="4"/>
  <c r="M166" i="4"/>
  <c r="N166" i="4"/>
  <c r="O166" i="4"/>
  <c r="H167" i="4"/>
  <c r="J167" i="4"/>
  <c r="K167" i="4" s="1"/>
  <c r="L167" i="4"/>
  <c r="M167" i="4" s="1"/>
  <c r="N167" i="4"/>
  <c r="O167" i="4"/>
  <c r="F168" i="4"/>
  <c r="P168" i="4"/>
  <c r="F584" i="2" s="1"/>
  <c r="I171" i="4"/>
  <c r="I172" i="4"/>
  <c r="I173" i="4"/>
  <c r="I174" i="4"/>
  <c r="I175" i="4"/>
  <c r="H178" i="4"/>
  <c r="J178" i="4"/>
  <c r="K178" i="4" s="1"/>
  <c r="L178" i="4"/>
  <c r="M178" i="4" s="1"/>
  <c r="N178" i="4"/>
  <c r="O178" i="4"/>
  <c r="H179" i="4"/>
  <c r="J179" i="4"/>
  <c r="K179" i="4" s="1"/>
  <c r="L179" i="4"/>
  <c r="M179" i="4" s="1"/>
  <c r="N179" i="4"/>
  <c r="O179" i="4"/>
  <c r="H180" i="4"/>
  <c r="J180" i="4"/>
  <c r="K180" i="4" s="1"/>
  <c r="L180" i="4"/>
  <c r="M180" i="4"/>
  <c r="N180" i="4"/>
  <c r="O180" i="4"/>
  <c r="H181" i="4"/>
  <c r="J181" i="4"/>
  <c r="K181" i="4" s="1"/>
  <c r="L181" i="4"/>
  <c r="M181" i="4" s="1"/>
  <c r="N181" i="4"/>
  <c r="O181" i="4"/>
  <c r="P181" i="4"/>
  <c r="P184" i="4" s="1"/>
  <c r="H182" i="4"/>
  <c r="J182" i="4"/>
  <c r="K182" i="4" s="1"/>
  <c r="L182" i="4"/>
  <c r="M182" i="4" s="1"/>
  <c r="N182" i="4"/>
  <c r="N184" i="4" s="1"/>
  <c r="F109" i="2" s="1"/>
  <c r="O182" i="4"/>
  <c r="P182" i="4"/>
  <c r="H183" i="4"/>
  <c r="J183" i="4"/>
  <c r="K183" i="4" s="1"/>
  <c r="L183" i="4"/>
  <c r="M183" i="4" s="1"/>
  <c r="N183" i="4"/>
  <c r="O183" i="4"/>
  <c r="F184" i="4"/>
  <c r="G184" i="4"/>
  <c r="F191" i="4"/>
  <c r="G191" i="4" s="1"/>
  <c r="H191" i="4" s="1"/>
  <c r="C192" i="4"/>
  <c r="F192" i="4" s="1"/>
  <c r="F194" i="4"/>
  <c r="C195" i="4"/>
  <c r="F195" i="4" s="1"/>
  <c r="C196" i="4"/>
  <c r="F196" i="4" s="1"/>
  <c r="F200" i="4"/>
  <c r="F201" i="4"/>
  <c r="C202" i="4"/>
  <c r="F202" i="4" s="1"/>
  <c r="C203" i="4"/>
  <c r="F203" i="4" s="1"/>
  <c r="F204" i="4"/>
  <c r="C205" i="4"/>
  <c r="F205" i="4" s="1"/>
  <c r="C206" i="4"/>
  <c r="F206" i="4" s="1"/>
  <c r="F191" i="2" s="1"/>
  <c r="L191" i="2" s="1"/>
  <c r="C209" i="4"/>
  <c r="F209" i="4"/>
  <c r="C210" i="4"/>
  <c r="F210" i="4"/>
  <c r="F211" i="4"/>
  <c r="C212" i="4"/>
  <c r="F212" i="4" s="1"/>
  <c r="C215" i="4"/>
  <c r="F215" i="4"/>
  <c r="F217" i="4" s="1"/>
  <c r="F216" i="4"/>
  <c r="C219" i="4"/>
  <c r="F219" i="4" s="1"/>
  <c r="C220" i="4"/>
  <c r="F220" i="4" s="1"/>
  <c r="H224" i="4"/>
  <c r="H225" i="4"/>
  <c r="C230" i="4"/>
  <c r="F230" i="4" s="1"/>
  <c r="C231" i="4"/>
  <c r="F231" i="4" s="1"/>
  <c r="F232" i="4"/>
  <c r="C233" i="4"/>
  <c r="F233" i="4"/>
  <c r="C234" i="4"/>
  <c r="F234" i="4"/>
  <c r="C237" i="4"/>
  <c r="F237" i="4" s="1"/>
  <c r="C238" i="4"/>
  <c r="F238" i="4" s="1"/>
  <c r="C239" i="4"/>
  <c r="F239" i="4" s="1"/>
  <c r="C240" i="4"/>
  <c r="F240" i="4" s="1"/>
  <c r="C243" i="4"/>
  <c r="F243" i="4"/>
  <c r="C244" i="4"/>
  <c r="F244" i="4"/>
  <c r="C251" i="4"/>
  <c r="F251" i="4" s="1"/>
  <c r="C252" i="4"/>
  <c r="F252" i="4" s="1"/>
  <c r="F253" i="4"/>
  <c r="C256" i="4"/>
  <c r="F256" i="4" s="1"/>
  <c r="C257" i="4"/>
  <c r="F257" i="4" s="1"/>
  <c r="C258" i="4"/>
  <c r="F258" i="4" s="1"/>
  <c r="F259" i="4"/>
  <c r="C262" i="4"/>
  <c r="F262" i="4" s="1"/>
  <c r="F264" i="4" s="1"/>
  <c r="F238" i="2" s="1"/>
  <c r="L238" i="2" s="1"/>
  <c r="C263" i="4"/>
  <c r="F263" i="4" s="1"/>
  <c r="B272" i="4"/>
  <c r="D272" i="4" s="1"/>
  <c r="F1252" i="2" s="1"/>
  <c r="B277" i="4"/>
  <c r="D277" i="4" s="1"/>
  <c r="F1258" i="2" s="1"/>
  <c r="B282" i="4"/>
  <c r="D282" i="4" s="1"/>
  <c r="F1264" i="2" s="1"/>
  <c r="D286" i="4"/>
  <c r="F118" i="2" s="1"/>
  <c r="B287" i="4"/>
  <c r="D287" i="4" s="1"/>
  <c r="D288" i="4"/>
  <c r="D289" i="4"/>
  <c r="D290" i="4"/>
  <c r="B294" i="4"/>
  <c r="D294" i="4"/>
  <c r="B295" i="4"/>
  <c r="D295" i="4"/>
  <c r="D300" i="4"/>
  <c r="D301" i="4"/>
  <c r="B306" i="4"/>
  <c r="D306" i="4"/>
  <c r="B307" i="4" s="1"/>
  <c r="D307" i="4" s="1"/>
  <c r="F129" i="2" s="1"/>
  <c r="B308" i="4"/>
  <c r="D308" i="4"/>
  <c r="F125" i="2" s="1"/>
  <c r="B312" i="4"/>
  <c r="D312" i="4"/>
  <c r="B313" i="4" s="1"/>
  <c r="D313" i="4" s="1"/>
  <c r="B314" i="4"/>
  <c r="D314" i="4"/>
  <c r="D319" i="4"/>
  <c r="B320" i="4"/>
  <c r="D320" i="4" s="1"/>
  <c r="F714" i="2" s="1"/>
  <c r="D321" i="4"/>
  <c r="A13" i="3"/>
  <c r="B13" i="3"/>
  <c r="B14" i="3"/>
  <c r="U14" i="3"/>
  <c r="B15" i="3"/>
  <c r="U15" i="3"/>
  <c r="B16" i="3"/>
  <c r="U16" i="3"/>
  <c r="A18" i="3"/>
  <c r="B18" i="3"/>
  <c r="B19" i="3"/>
  <c r="U19" i="3"/>
  <c r="U20" i="3"/>
  <c r="A22" i="3"/>
  <c r="B22" i="3"/>
  <c r="U23" i="3"/>
  <c r="B24" i="3"/>
  <c r="U24" i="3"/>
  <c r="B25" i="3"/>
  <c r="U25" i="3"/>
  <c r="B26" i="3"/>
  <c r="U26" i="3"/>
  <c r="B27" i="3"/>
  <c r="U27" i="3"/>
  <c r="A29" i="3"/>
  <c r="B29" i="3"/>
  <c r="B30" i="3"/>
  <c r="U30" i="3"/>
  <c r="U31" i="3"/>
  <c r="U32" i="3"/>
  <c r="U33" i="3"/>
  <c r="U34" i="3"/>
  <c r="A36" i="3"/>
  <c r="B36" i="3"/>
  <c r="B37" i="3"/>
  <c r="U37" i="3"/>
  <c r="B38" i="3"/>
  <c r="U38" i="3"/>
  <c r="B39" i="3"/>
  <c r="U39" i="3"/>
  <c r="B40" i="3"/>
  <c r="U40" i="3"/>
  <c r="A42" i="3"/>
  <c r="B42" i="3"/>
  <c r="B43" i="3"/>
  <c r="U44" i="3"/>
  <c r="B46" i="3"/>
  <c r="B47" i="3"/>
  <c r="U47" i="3"/>
  <c r="B48" i="3"/>
  <c r="U48" i="3"/>
  <c r="B49" i="3"/>
  <c r="U49" i="3"/>
  <c r="B51" i="3"/>
  <c r="B52" i="3"/>
  <c r="U52" i="3"/>
  <c r="B53" i="3"/>
  <c r="U53" i="3"/>
  <c r="B54" i="3"/>
  <c r="U54" i="3"/>
  <c r="B56" i="3"/>
  <c r="B57" i="3"/>
  <c r="U57" i="3"/>
  <c r="B58" i="3"/>
  <c r="U58" i="3"/>
  <c r="B59" i="3"/>
  <c r="U59" i="3"/>
  <c r="A62" i="3"/>
  <c r="B62" i="3"/>
  <c r="U63" i="3"/>
  <c r="U64" i="3"/>
  <c r="U65" i="3"/>
  <c r="U66" i="3"/>
  <c r="U67" i="3"/>
  <c r="A69" i="3"/>
  <c r="B69" i="3"/>
  <c r="U70" i="3"/>
  <c r="A72" i="3"/>
  <c r="B72" i="3"/>
  <c r="B73" i="3"/>
  <c r="U73" i="3"/>
  <c r="B74" i="3"/>
  <c r="U74" i="3"/>
  <c r="B75" i="3"/>
  <c r="U75" i="3"/>
  <c r="A77" i="3"/>
  <c r="B77" i="3"/>
  <c r="U78" i="3"/>
  <c r="B79" i="3"/>
  <c r="U79" i="3"/>
  <c r="B80" i="3"/>
  <c r="U80" i="3"/>
  <c r="B81" i="3"/>
  <c r="U81" i="3"/>
  <c r="A83" i="3"/>
  <c r="B83" i="3"/>
  <c r="B84" i="3"/>
  <c r="U84" i="3"/>
  <c r="B85" i="3"/>
  <c r="U85" i="3"/>
  <c r="B86" i="3"/>
  <c r="U86" i="3"/>
  <c r="A88" i="3"/>
  <c r="B88" i="3"/>
  <c r="B89" i="3"/>
  <c r="U89" i="3"/>
  <c r="B90" i="3"/>
  <c r="U90" i="3"/>
  <c r="B91" i="3"/>
  <c r="U91" i="3"/>
  <c r="B92" i="3"/>
  <c r="U92" i="3"/>
  <c r="A94" i="3"/>
  <c r="B94" i="3"/>
  <c r="B95" i="3"/>
  <c r="U95" i="3"/>
  <c r="B96" i="3"/>
  <c r="U96" i="3"/>
  <c r="B97" i="3"/>
  <c r="U97" i="3"/>
  <c r="B98" i="3"/>
  <c r="U98" i="3"/>
  <c r="A100" i="3"/>
  <c r="B100" i="3"/>
  <c r="B101" i="3"/>
  <c r="U101" i="3"/>
  <c r="B102" i="3"/>
  <c r="U102" i="3"/>
  <c r="B103" i="3"/>
  <c r="U103" i="3"/>
  <c r="B104" i="3"/>
  <c r="U105" i="3"/>
  <c r="U106" i="3"/>
  <c r="U107" i="3"/>
  <c r="U108" i="3"/>
  <c r="U109" i="3"/>
  <c r="U110" i="3"/>
  <c r="B111" i="3"/>
  <c r="U112" i="3"/>
  <c r="U113" i="3"/>
  <c r="U114" i="3"/>
  <c r="U115" i="3"/>
  <c r="U116" i="3"/>
  <c r="U117" i="3"/>
  <c r="B118" i="3"/>
  <c r="U119" i="3"/>
  <c r="U120" i="3"/>
  <c r="U121" i="3"/>
  <c r="U122" i="3"/>
  <c r="U123" i="3"/>
  <c r="U124" i="3"/>
  <c r="A126" i="3"/>
  <c r="B126" i="3"/>
  <c r="B127" i="3"/>
  <c r="U128" i="3"/>
  <c r="B129" i="3"/>
  <c r="U130" i="3"/>
  <c r="B131" i="3"/>
  <c r="U132" i="3"/>
  <c r="A134" i="3"/>
  <c r="B134" i="3"/>
  <c r="U135" i="3"/>
  <c r="A137" i="3"/>
  <c r="B137" i="3"/>
  <c r="U138" i="3"/>
  <c r="B139" i="3"/>
  <c r="B140" i="3"/>
  <c r="U140" i="3"/>
  <c r="B141" i="3"/>
  <c r="U141" i="3"/>
  <c r="B142" i="3"/>
  <c r="U142" i="3"/>
  <c r="B143" i="3"/>
  <c r="U143" i="3"/>
  <c r="B144" i="3"/>
  <c r="U144" i="3"/>
  <c r="B145" i="3"/>
  <c r="B146" i="3"/>
  <c r="U146" i="3"/>
  <c r="B147" i="3"/>
  <c r="U147" i="3"/>
  <c r="B148" i="3"/>
  <c r="U148" i="3"/>
  <c r="B149" i="3"/>
  <c r="U149" i="3"/>
  <c r="B150" i="3"/>
  <c r="U150" i="3"/>
  <c r="B151" i="3"/>
  <c r="B152" i="3"/>
  <c r="U152" i="3"/>
  <c r="B153" i="3"/>
  <c r="U153" i="3"/>
  <c r="B154" i="3"/>
  <c r="U154" i="3"/>
  <c r="B155" i="3"/>
  <c r="U155" i="3"/>
  <c r="B156" i="3"/>
  <c r="U156" i="3"/>
  <c r="B157" i="3"/>
  <c r="B158" i="3"/>
  <c r="U158" i="3"/>
  <c r="B159" i="3"/>
  <c r="U159" i="3"/>
  <c r="B160" i="3"/>
  <c r="U160" i="3"/>
  <c r="B161" i="3"/>
  <c r="U161" i="3"/>
  <c r="B162" i="3"/>
  <c r="B163" i="3"/>
  <c r="U163" i="3"/>
  <c r="B164" i="3"/>
  <c r="U164" i="3"/>
  <c r="B165" i="3"/>
  <c r="U165" i="3"/>
  <c r="B166" i="3"/>
  <c r="U166" i="3"/>
  <c r="B167" i="3"/>
  <c r="U167" i="3"/>
  <c r="A170" i="3"/>
  <c r="B170" i="3"/>
  <c r="U171" i="3"/>
  <c r="U172" i="3"/>
  <c r="U173" i="3"/>
  <c r="U174" i="3"/>
  <c r="D6" i="2"/>
  <c r="D7" i="2"/>
  <c r="D7" i="3" s="1"/>
  <c r="D8" i="2"/>
  <c r="D8" i="3" s="1"/>
  <c r="D9" i="2"/>
  <c r="D9" i="3" s="1"/>
  <c r="F32" i="2"/>
  <c r="K32" i="2" s="1"/>
  <c r="D33" i="2"/>
  <c r="I33" i="2"/>
  <c r="I32" i="2" s="1"/>
  <c r="D36" i="2"/>
  <c r="I36" i="2"/>
  <c r="I35" i="2" s="1"/>
  <c r="F44" i="2"/>
  <c r="F50" i="2"/>
  <c r="F56" i="2"/>
  <c r="F58" i="2"/>
  <c r="F60" i="2"/>
  <c r="K60" i="2" s="1"/>
  <c r="I61" i="2"/>
  <c r="I60" i="2" s="1"/>
  <c r="F63" i="2"/>
  <c r="K63" i="2" s="1"/>
  <c r="I64" i="2"/>
  <c r="I63" i="2" s="1"/>
  <c r="F66" i="2"/>
  <c r="K66" i="2" s="1"/>
  <c r="I67" i="2"/>
  <c r="I68" i="2"/>
  <c r="F72" i="2"/>
  <c r="K72" i="2" s="1"/>
  <c r="I73" i="2"/>
  <c r="I72" i="2" s="1"/>
  <c r="I74" i="2"/>
  <c r="F78" i="2"/>
  <c r="F80" i="2"/>
  <c r="F84" i="2"/>
  <c r="F86" i="2"/>
  <c r="F88" i="2"/>
  <c r="F96" i="2"/>
  <c r="F98" i="2"/>
  <c r="K98" i="2" s="1"/>
  <c r="I99" i="2"/>
  <c r="I98" i="2" s="1"/>
  <c r="F103" i="2"/>
  <c r="F105" i="2"/>
  <c r="F107" i="2"/>
  <c r="F111" i="2"/>
  <c r="F113" i="2"/>
  <c r="I116" i="2"/>
  <c r="I115" i="2" s="1"/>
  <c r="D181" i="2"/>
  <c r="H181" i="2"/>
  <c r="H180" i="2" s="1"/>
  <c r="D192" i="2"/>
  <c r="H192" i="2"/>
  <c r="H191" i="2" s="1"/>
  <c r="D195" i="2"/>
  <c r="H195" i="2"/>
  <c r="H194" i="2" s="1"/>
  <c r="I198" i="2"/>
  <c r="I199" i="2"/>
  <c r="H200" i="2"/>
  <c r="H201" i="2"/>
  <c r="H202" i="2"/>
  <c r="F207" i="2"/>
  <c r="D213" i="2"/>
  <c r="D216" i="2"/>
  <c r="H216" i="2"/>
  <c r="H215" i="2" s="1"/>
  <c r="D219" i="2"/>
  <c r="H219" i="2"/>
  <c r="H218" i="2" s="1"/>
  <c r="I222" i="2"/>
  <c r="I223" i="2"/>
  <c r="H224" i="2"/>
  <c r="H225" i="2"/>
  <c r="H221" i="2" s="1"/>
  <c r="K221" i="2" s="1"/>
  <c r="H226" i="2"/>
  <c r="D236" i="2"/>
  <c r="H236" i="2"/>
  <c r="H235" i="2" s="1"/>
  <c r="D239" i="2"/>
  <c r="H239" i="2"/>
  <c r="H238" i="2" s="1"/>
  <c r="D242" i="2"/>
  <c r="H242" i="2"/>
  <c r="H241" i="2" s="1"/>
  <c r="I245" i="2"/>
  <c r="I244" i="2" s="1"/>
  <c r="I246" i="2"/>
  <c r="H247" i="2"/>
  <c r="H248" i="2"/>
  <c r="H249" i="2"/>
  <c r="F257" i="2"/>
  <c r="L257" i="2" s="1"/>
  <c r="H257" i="2"/>
  <c r="F267" i="2"/>
  <c r="F269" i="2"/>
  <c r="L269" i="2" s="1"/>
  <c r="H269" i="2"/>
  <c r="F271" i="2"/>
  <c r="F273" i="2"/>
  <c r="F275" i="2"/>
  <c r="F279" i="2"/>
  <c r="L279" i="2" s="1"/>
  <c r="H280" i="2"/>
  <c r="H281" i="2"/>
  <c r="H282" i="2"/>
  <c r="H283" i="2"/>
  <c r="H284" i="2"/>
  <c r="H285" i="2"/>
  <c r="H286" i="2"/>
  <c r="H287" i="2"/>
  <c r="H288" i="2"/>
  <c r="H289" i="2"/>
  <c r="H290" i="2"/>
  <c r="F292" i="2"/>
  <c r="L292" i="2" s="1"/>
  <c r="H293" i="2"/>
  <c r="H294" i="2"/>
  <c r="H295" i="2"/>
  <c r="H296" i="2"/>
  <c r="H297" i="2"/>
  <c r="H298" i="2"/>
  <c r="H299" i="2"/>
  <c r="H300" i="2"/>
  <c r="H301" i="2"/>
  <c r="H302" i="2"/>
  <c r="H303" i="2"/>
  <c r="F305" i="2"/>
  <c r="I306" i="2"/>
  <c r="I307" i="2"/>
  <c r="H308" i="2"/>
  <c r="H305" i="2" s="1"/>
  <c r="K305" i="2" s="1"/>
  <c r="H309" i="2"/>
  <c r="F311" i="2"/>
  <c r="I312" i="2"/>
  <c r="I313" i="2"/>
  <c r="H314" i="2"/>
  <c r="H315" i="2"/>
  <c r="H316" i="2"/>
  <c r="F318" i="2"/>
  <c r="F319" i="2"/>
  <c r="I319" i="2" s="1"/>
  <c r="F320" i="2"/>
  <c r="I320" i="2"/>
  <c r="F321" i="2"/>
  <c r="H321" i="2" s="1"/>
  <c r="H318" i="2" s="1"/>
  <c r="K318" i="2" s="1"/>
  <c r="H322" i="2"/>
  <c r="F324" i="2"/>
  <c r="F325" i="2"/>
  <c r="I325" i="2" s="1"/>
  <c r="F326" i="2"/>
  <c r="I326" i="2" s="1"/>
  <c r="F327" i="2"/>
  <c r="H327" i="2" s="1"/>
  <c r="H328" i="2"/>
  <c r="F330" i="2"/>
  <c r="F331" i="2"/>
  <c r="I331" i="2" s="1"/>
  <c r="F332" i="2"/>
  <c r="I332" i="2"/>
  <c r="F333" i="2"/>
  <c r="H333" i="2" s="1"/>
  <c r="H330" i="2" s="1"/>
  <c r="K330" i="2" s="1"/>
  <c r="H334" i="2"/>
  <c r="F336" i="2"/>
  <c r="F337" i="2"/>
  <c r="I337" i="2" s="1"/>
  <c r="F338" i="2"/>
  <c r="I338" i="2" s="1"/>
  <c r="H339" i="2"/>
  <c r="H340" i="2"/>
  <c r="F348" i="2"/>
  <c r="F354" i="2"/>
  <c r="F356" i="2"/>
  <c r="F358" i="2"/>
  <c r="L358" i="2" s="1"/>
  <c r="H358" i="2"/>
  <c r="F360" i="2"/>
  <c r="K360" i="2" s="1"/>
  <c r="J360" i="2"/>
  <c r="F362" i="2"/>
  <c r="H367" i="2"/>
  <c r="H368" i="2"/>
  <c r="H369" i="2"/>
  <c r="H370" i="2"/>
  <c r="H371" i="2"/>
  <c r="H372" i="2"/>
  <c r="H373" i="2"/>
  <c r="H374" i="2"/>
  <c r="H375" i="2"/>
  <c r="H376" i="2"/>
  <c r="H377" i="2"/>
  <c r="F379" i="2"/>
  <c r="K379" i="2" s="1"/>
  <c r="I380" i="2"/>
  <c r="I381" i="2"/>
  <c r="F385" i="2"/>
  <c r="I386" i="2"/>
  <c r="I387" i="2"/>
  <c r="H388" i="2"/>
  <c r="H389" i="2"/>
  <c r="H390" i="2"/>
  <c r="F392" i="2"/>
  <c r="F393" i="2"/>
  <c r="I393" i="2" s="1"/>
  <c r="F394" i="2"/>
  <c r="I394" i="2" s="1"/>
  <c r="F395" i="2"/>
  <c r="H395" i="2" s="1"/>
  <c r="H396" i="2"/>
  <c r="F398" i="2"/>
  <c r="F399" i="2"/>
  <c r="I399" i="2" s="1"/>
  <c r="F400" i="2"/>
  <c r="I400" i="2" s="1"/>
  <c r="F401" i="2"/>
  <c r="H401" i="2" s="1"/>
  <c r="H398" i="2" s="1"/>
  <c r="K398" i="2" s="1"/>
  <c r="H402" i="2"/>
  <c r="F404" i="2"/>
  <c r="F405" i="2"/>
  <c r="I405" i="2" s="1"/>
  <c r="F406" i="2"/>
  <c r="I406" i="2" s="1"/>
  <c r="F407" i="2"/>
  <c r="H407" i="2"/>
  <c r="H404" i="2" s="1"/>
  <c r="K404" i="2" s="1"/>
  <c r="H408" i="2"/>
  <c r="F412" i="2"/>
  <c r="F414" i="2"/>
  <c r="I419" i="2"/>
  <c r="I420" i="2"/>
  <c r="D421" i="2"/>
  <c r="H421" i="2"/>
  <c r="H418" i="2" s="1"/>
  <c r="K418" i="2" s="1"/>
  <c r="F427" i="2"/>
  <c r="F429" i="2"/>
  <c r="F431" i="2"/>
  <c r="L431" i="2" s="1"/>
  <c r="H431" i="2"/>
  <c r="F433" i="2"/>
  <c r="F435" i="2"/>
  <c r="H440" i="2"/>
  <c r="H441" i="2"/>
  <c r="H442" i="2"/>
  <c r="H443" i="2"/>
  <c r="H444" i="2"/>
  <c r="H445" i="2"/>
  <c r="H446" i="2"/>
  <c r="H447" i="2"/>
  <c r="H448" i="2"/>
  <c r="H449" i="2"/>
  <c r="H450" i="2"/>
  <c r="F452" i="2"/>
  <c r="I453" i="2"/>
  <c r="I454" i="2"/>
  <c r="H455" i="2"/>
  <c r="H452" i="2" s="1"/>
  <c r="K452" i="2" s="1"/>
  <c r="H456" i="2"/>
  <c r="H457" i="2"/>
  <c r="F459" i="2"/>
  <c r="F460" i="2"/>
  <c r="I460" i="2" s="1"/>
  <c r="F461" i="2"/>
  <c r="I461" i="2" s="1"/>
  <c r="F462" i="2"/>
  <c r="H462" i="2" s="1"/>
  <c r="H463" i="2"/>
  <c r="F465" i="2"/>
  <c r="F466" i="2"/>
  <c r="I466" i="2" s="1"/>
  <c r="F467" i="2"/>
  <c r="I467" i="2"/>
  <c r="F468" i="2"/>
  <c r="H468" i="2" s="1"/>
  <c r="H465" i="2" s="1"/>
  <c r="K465" i="2" s="1"/>
  <c r="H469" i="2"/>
  <c r="H470" i="2"/>
  <c r="F471" i="2"/>
  <c r="F472" i="2"/>
  <c r="I472" i="2" s="1"/>
  <c r="F473" i="2"/>
  <c r="I473" i="2"/>
  <c r="H474" i="2"/>
  <c r="H471" i="2" s="1"/>
  <c r="K471" i="2" s="1"/>
  <c r="H475" i="2"/>
  <c r="F479" i="2"/>
  <c r="I482" i="2"/>
  <c r="I483" i="2"/>
  <c r="D484" i="2"/>
  <c r="H484" i="2"/>
  <c r="H481" i="2" s="1"/>
  <c r="K481" i="2" s="1"/>
  <c r="I489" i="2"/>
  <c r="I490" i="2"/>
  <c r="H491" i="2"/>
  <c r="H488" i="2" s="1"/>
  <c r="H492" i="2"/>
  <c r="F494" i="2"/>
  <c r="I495" i="2"/>
  <c r="I496" i="2"/>
  <c r="D497" i="2"/>
  <c r="H497" i="2"/>
  <c r="H498" i="2"/>
  <c r="H499" i="2"/>
  <c r="H500" i="2"/>
  <c r="I503" i="2"/>
  <c r="I504" i="2"/>
  <c r="H505" i="2"/>
  <c r="H502" i="2" s="1"/>
  <c r="K502" i="2" s="1"/>
  <c r="H506" i="2"/>
  <c r="F510" i="2"/>
  <c r="L510" i="2" s="1"/>
  <c r="D511" i="2"/>
  <c r="E511" i="2"/>
  <c r="H511" i="2"/>
  <c r="H510" i="2" s="1"/>
  <c r="F513" i="2"/>
  <c r="L513" i="2" s="1"/>
  <c r="D514" i="2"/>
  <c r="E514" i="2"/>
  <c r="H514" i="2"/>
  <c r="H513" i="2" s="1"/>
  <c r="F520" i="2"/>
  <c r="I521" i="2"/>
  <c r="I520" i="2" s="1"/>
  <c r="H522" i="2"/>
  <c r="H523" i="2"/>
  <c r="H524" i="2"/>
  <c r="F526" i="2"/>
  <c r="F528" i="2"/>
  <c r="D535" i="2"/>
  <c r="H535" i="2"/>
  <c r="H534" i="2" s="1"/>
  <c r="D540" i="2"/>
  <c r="H540" i="2"/>
  <c r="H539" i="2" s="1"/>
  <c r="D545" i="2"/>
  <c r="H545" i="2"/>
  <c r="H544" i="2" s="1"/>
  <c r="F565" i="2"/>
  <c r="F571" i="2"/>
  <c r="F573" i="2"/>
  <c r="I604" i="2"/>
  <c r="I605" i="2"/>
  <c r="H606" i="2"/>
  <c r="H607" i="2"/>
  <c r="H608" i="2"/>
  <c r="F614" i="2"/>
  <c r="I617" i="2"/>
  <c r="I616" i="2" s="1"/>
  <c r="H618" i="2"/>
  <c r="H619" i="2"/>
  <c r="H620" i="2"/>
  <c r="I626" i="2"/>
  <c r="I630" i="2"/>
  <c r="I629" i="2" s="1"/>
  <c r="H631" i="2"/>
  <c r="H632" i="2"/>
  <c r="H633" i="2"/>
  <c r="I640" i="2"/>
  <c r="I639" i="2" s="1"/>
  <c r="H641" i="2"/>
  <c r="H642" i="2"/>
  <c r="H643" i="2"/>
  <c r="F651" i="2"/>
  <c r="F655" i="2"/>
  <c r="H658" i="2"/>
  <c r="H657" i="2" s="1"/>
  <c r="K657" i="2" s="1"/>
  <c r="I659" i="2"/>
  <c r="I657" i="2" s="1"/>
  <c r="H660" i="2"/>
  <c r="I663" i="2"/>
  <c r="I662" i="2" s="1"/>
  <c r="H664" i="2"/>
  <c r="H662" i="2" s="1"/>
  <c r="K662" i="2" s="1"/>
  <c r="F666" i="2"/>
  <c r="D667" i="2"/>
  <c r="H667" i="2"/>
  <c r="H668" i="2"/>
  <c r="I668" i="2"/>
  <c r="I666" i="2" s="1"/>
  <c r="L666" i="2" s="1"/>
  <c r="F672" i="2"/>
  <c r="H677" i="2"/>
  <c r="H676" i="2" s="1"/>
  <c r="K676" i="2" s="1"/>
  <c r="I678" i="2"/>
  <c r="I676" i="2" s="1"/>
  <c r="H679" i="2"/>
  <c r="F681" i="2"/>
  <c r="I682" i="2"/>
  <c r="I681" i="2" s="1"/>
  <c r="L681" i="2" s="1"/>
  <c r="H683" i="2"/>
  <c r="H681" i="2" s="1"/>
  <c r="F687" i="2"/>
  <c r="H690" i="2"/>
  <c r="I691" i="2"/>
  <c r="I689" i="2" s="1"/>
  <c r="H692" i="2"/>
  <c r="I695" i="2"/>
  <c r="I694" i="2" s="1"/>
  <c r="H696" i="2"/>
  <c r="H694" i="2" s="1"/>
  <c r="F712" i="2"/>
  <c r="F716" i="2"/>
  <c r="F718" i="2"/>
  <c r="I719" i="2"/>
  <c r="I720" i="2"/>
  <c r="H721" i="2"/>
  <c r="H718" i="2" s="1"/>
  <c r="K718" i="2" s="1"/>
  <c r="D722" i="2"/>
  <c r="H722" i="2"/>
  <c r="F728" i="2"/>
  <c r="I729" i="2"/>
  <c r="I730" i="2"/>
  <c r="H731" i="2"/>
  <c r="H732" i="2"/>
  <c r="H733" i="2"/>
  <c r="H734" i="2"/>
  <c r="F736" i="2"/>
  <c r="I737" i="2"/>
  <c r="I738" i="2"/>
  <c r="H739" i="2"/>
  <c r="H740" i="2"/>
  <c r="H741" i="2"/>
  <c r="H742" i="2"/>
  <c r="F744" i="2"/>
  <c r="I745" i="2"/>
  <c r="I746" i="2"/>
  <c r="H747" i="2"/>
  <c r="H744" i="2" s="1"/>
  <c r="K744" i="2" s="1"/>
  <c r="H748" i="2"/>
  <c r="H749" i="2"/>
  <c r="H750" i="2"/>
  <c r="F751" i="2"/>
  <c r="I752" i="2"/>
  <c r="I753" i="2"/>
  <c r="H754" i="2"/>
  <c r="H755" i="2"/>
  <c r="H756" i="2"/>
  <c r="H757" i="2"/>
  <c r="F761" i="2"/>
  <c r="F763" i="2"/>
  <c r="F767" i="2"/>
  <c r="F771" i="2"/>
  <c r="I772" i="2"/>
  <c r="I773" i="2"/>
  <c r="H774" i="2"/>
  <c r="H775" i="2"/>
  <c r="H776" i="2"/>
  <c r="H777" i="2"/>
  <c r="H778" i="2"/>
  <c r="H779" i="2"/>
  <c r="H780" i="2"/>
  <c r="H781" i="2"/>
  <c r="H782" i="2"/>
  <c r="F784" i="2"/>
  <c r="I785" i="2"/>
  <c r="I786" i="2"/>
  <c r="H787" i="2"/>
  <c r="H788" i="2"/>
  <c r="H789" i="2"/>
  <c r="H790" i="2"/>
  <c r="H791" i="2"/>
  <c r="H792" i="2"/>
  <c r="H793" i="2"/>
  <c r="H794" i="2"/>
  <c r="H795" i="2"/>
  <c r="F797" i="2"/>
  <c r="I798" i="2"/>
  <c r="I799" i="2"/>
  <c r="H800" i="2"/>
  <c r="H801" i="2"/>
  <c r="H802" i="2"/>
  <c r="H803" i="2"/>
  <c r="H804" i="2"/>
  <c r="H805" i="2"/>
  <c r="H806" i="2"/>
  <c r="H807" i="2"/>
  <c r="H808" i="2"/>
  <c r="I811" i="2"/>
  <c r="I812" i="2"/>
  <c r="H813" i="2"/>
  <c r="H814" i="2"/>
  <c r="H815" i="2"/>
  <c r="H816" i="2"/>
  <c r="H817" i="2"/>
  <c r="H818" i="2"/>
  <c r="H819" i="2"/>
  <c r="I822" i="2"/>
  <c r="I823" i="2"/>
  <c r="H824" i="2"/>
  <c r="H825" i="2"/>
  <c r="H826" i="2"/>
  <c r="H827" i="2"/>
  <c r="H828" i="2"/>
  <c r="H829" i="2"/>
  <c r="I832" i="2"/>
  <c r="I833" i="2"/>
  <c r="I838" i="2"/>
  <c r="I837" i="2" s="1"/>
  <c r="D839" i="2"/>
  <c r="H839" i="2"/>
  <c r="H837" i="2" s="1"/>
  <c r="F841" i="2"/>
  <c r="I842" i="2"/>
  <c r="I841" i="2" s="1"/>
  <c r="D843" i="2"/>
  <c r="H843" i="2"/>
  <c r="H841" i="2" s="1"/>
  <c r="F845" i="2"/>
  <c r="I846" i="2"/>
  <c r="I845" i="2" s="1"/>
  <c r="D847" i="2"/>
  <c r="H847" i="2"/>
  <c r="H845" i="2" s="1"/>
  <c r="F849" i="2"/>
  <c r="I850" i="2"/>
  <c r="I849" i="2" s="1"/>
  <c r="D851" i="2"/>
  <c r="H851" i="2"/>
  <c r="H849" i="2" s="1"/>
  <c r="F855" i="2"/>
  <c r="I856" i="2"/>
  <c r="I857" i="2"/>
  <c r="H858" i="2"/>
  <c r="H855" i="2" s="1"/>
  <c r="D859" i="2"/>
  <c r="H859" i="2"/>
  <c r="I862" i="2"/>
  <c r="I863" i="2"/>
  <c r="H864" i="2"/>
  <c r="H861" i="2" s="1"/>
  <c r="K861" i="2" s="1"/>
  <c r="H865" i="2"/>
  <c r="I868" i="2"/>
  <c r="I869" i="2"/>
  <c r="H870" i="2"/>
  <c r="H867" i="2" s="1"/>
  <c r="K867" i="2" s="1"/>
  <c r="H871" i="2"/>
  <c r="I874" i="2"/>
  <c r="I875" i="2"/>
  <c r="I879" i="2"/>
  <c r="I880" i="2"/>
  <c r="H881" i="2"/>
  <c r="H878" i="2" s="1"/>
  <c r="I884" i="2"/>
  <c r="I885" i="2"/>
  <c r="I886" i="2"/>
  <c r="H887" i="2"/>
  <c r="H888" i="2"/>
  <c r="F890" i="2"/>
  <c r="F897" i="2" s="1"/>
  <c r="I891" i="2"/>
  <c r="I890" i="2" s="1"/>
  <c r="I892" i="2"/>
  <c r="D893" i="2"/>
  <c r="H893" i="2"/>
  <c r="H890" i="2" s="1"/>
  <c r="H894" i="2"/>
  <c r="H895" i="2"/>
  <c r="I898" i="2"/>
  <c r="I897" i="2" s="1"/>
  <c r="D899" i="2"/>
  <c r="H899" i="2"/>
  <c r="H897" i="2" s="1"/>
  <c r="F903" i="2"/>
  <c r="K903" i="2" s="1"/>
  <c r="I903" i="2"/>
  <c r="I906" i="2"/>
  <c r="I907" i="2"/>
  <c r="H908" i="2"/>
  <c r="D909" i="2"/>
  <c r="H909" i="2"/>
  <c r="I920" i="2"/>
  <c r="I921" i="2"/>
  <c r="H922" i="2"/>
  <c r="H923" i="2"/>
  <c r="H924" i="2"/>
  <c r="H925" i="2"/>
  <c r="F927" i="2"/>
  <c r="I928" i="2"/>
  <c r="I929" i="2"/>
  <c r="H930" i="2"/>
  <c r="H931" i="2"/>
  <c r="H932" i="2"/>
  <c r="H933" i="2"/>
  <c r="I936" i="2"/>
  <c r="I937" i="2"/>
  <c r="H938" i="2"/>
  <c r="H935" i="2" s="1"/>
  <c r="H939" i="2"/>
  <c r="H940" i="2"/>
  <c r="H941" i="2"/>
  <c r="F943" i="2"/>
  <c r="I944" i="2"/>
  <c r="I943" i="2" s="1"/>
  <c r="I945" i="2"/>
  <c r="H946" i="2"/>
  <c r="H947" i="2"/>
  <c r="H948" i="2"/>
  <c r="H949" i="2"/>
  <c r="F955" i="2"/>
  <c r="I960" i="2"/>
  <c r="I961" i="2"/>
  <c r="H962" i="2"/>
  <c r="H963" i="2"/>
  <c r="H964" i="2"/>
  <c r="H965" i="2"/>
  <c r="H966" i="2"/>
  <c r="H967" i="2"/>
  <c r="H968" i="2"/>
  <c r="H969" i="2"/>
  <c r="H970" i="2"/>
  <c r="I973" i="2"/>
  <c r="I974" i="2"/>
  <c r="H975" i="2"/>
  <c r="H976" i="2"/>
  <c r="H977" i="2"/>
  <c r="H978" i="2"/>
  <c r="H979" i="2"/>
  <c r="H980" i="2"/>
  <c r="H981" i="2"/>
  <c r="H982" i="2"/>
  <c r="H983" i="2"/>
  <c r="F985" i="2"/>
  <c r="I986" i="2"/>
  <c r="I987" i="2"/>
  <c r="H988" i="2"/>
  <c r="H989" i="2"/>
  <c r="H990" i="2"/>
  <c r="H991" i="2"/>
  <c r="H992" i="2"/>
  <c r="H993" i="2"/>
  <c r="H994" i="2"/>
  <c r="H995" i="2"/>
  <c r="H996" i="2"/>
  <c r="F998" i="2"/>
  <c r="I999" i="2"/>
  <c r="I1000" i="2"/>
  <c r="H1001" i="2"/>
  <c r="H1002" i="2"/>
  <c r="H1003" i="2"/>
  <c r="H1004" i="2"/>
  <c r="H1005" i="2"/>
  <c r="H1006" i="2"/>
  <c r="H1007" i="2"/>
  <c r="I1010" i="2"/>
  <c r="I1011" i="2"/>
  <c r="F1015" i="2"/>
  <c r="I1016" i="2"/>
  <c r="I1015" i="2" s="1"/>
  <c r="D1017" i="2"/>
  <c r="H1017" i="2"/>
  <c r="H1015" i="2" s="1"/>
  <c r="K1015" i="2" s="1"/>
  <c r="I1020" i="2"/>
  <c r="I1019" i="2" s="1"/>
  <c r="D1021" i="2"/>
  <c r="H1021" i="2"/>
  <c r="H1019" i="2" s="1"/>
  <c r="K1019" i="2" s="1"/>
  <c r="F1023" i="2"/>
  <c r="I1024" i="2"/>
  <c r="I1023" i="2" s="1"/>
  <c r="D1025" i="2"/>
  <c r="H1025" i="2"/>
  <c r="H1023" i="2" s="1"/>
  <c r="K1023" i="2" s="1"/>
  <c r="F1027" i="2"/>
  <c r="I1028" i="2"/>
  <c r="I1027" i="2" s="1"/>
  <c r="D1029" i="2"/>
  <c r="H1029" i="2"/>
  <c r="H1027" i="2" s="1"/>
  <c r="K1027" i="2" s="1"/>
  <c r="F1031" i="2"/>
  <c r="F1033" i="2"/>
  <c r="I1034" i="2"/>
  <c r="I1035" i="2"/>
  <c r="H1036" i="2"/>
  <c r="D1037" i="2"/>
  <c r="H1037" i="2"/>
  <c r="F1039" i="2"/>
  <c r="I1040" i="2"/>
  <c r="I1039" i="2" s="1"/>
  <c r="I1041" i="2"/>
  <c r="H1042" i="2"/>
  <c r="H1043" i="2"/>
  <c r="F1045" i="2"/>
  <c r="K1045" i="2" s="1"/>
  <c r="I1046" i="2"/>
  <c r="I1047" i="2"/>
  <c r="F1050" i="2"/>
  <c r="I1051" i="2"/>
  <c r="I1052" i="2"/>
  <c r="H1053" i="2"/>
  <c r="H1050" i="2" s="1"/>
  <c r="I1056" i="2"/>
  <c r="I1057" i="2"/>
  <c r="D1058" i="2"/>
  <c r="H1058" i="2"/>
  <c r="H1059" i="2"/>
  <c r="H1060" i="2"/>
  <c r="I1063" i="2"/>
  <c r="I1062" i="2" s="1"/>
  <c r="D1064" i="2"/>
  <c r="H1064" i="2"/>
  <c r="H1062" i="2" s="1"/>
  <c r="K1062" i="2" s="1"/>
  <c r="I1068" i="2"/>
  <c r="I1071" i="2"/>
  <c r="I1072" i="2"/>
  <c r="H1073" i="2"/>
  <c r="H1070" i="2" s="1"/>
  <c r="K1070" i="2" s="1"/>
  <c r="D1074" i="2"/>
  <c r="H1074" i="2"/>
  <c r="F1078" i="2"/>
  <c r="F1084" i="2"/>
  <c r="I1085" i="2"/>
  <c r="I1084" i="2" s="1"/>
  <c r="I1086" i="2"/>
  <c r="H1087" i="2"/>
  <c r="H1088" i="2"/>
  <c r="H1089" i="2"/>
  <c r="H1090" i="2"/>
  <c r="F1092" i="2"/>
  <c r="I1093" i="2"/>
  <c r="I1094" i="2"/>
  <c r="H1095" i="2"/>
  <c r="H1096" i="2"/>
  <c r="H1097" i="2"/>
  <c r="H1098" i="2"/>
  <c r="F1100" i="2"/>
  <c r="I1101" i="2"/>
  <c r="I1102" i="2"/>
  <c r="I1100" i="2" s="1"/>
  <c r="H1103" i="2"/>
  <c r="H1104" i="2"/>
  <c r="H1105" i="2"/>
  <c r="H1106" i="2"/>
  <c r="F1108" i="2"/>
  <c r="I1109" i="2"/>
  <c r="I1110" i="2"/>
  <c r="H1111" i="2"/>
  <c r="H1108" i="2" s="1"/>
  <c r="K1108" i="2" s="1"/>
  <c r="H1112" i="2"/>
  <c r="H1113" i="2"/>
  <c r="H1114" i="2"/>
  <c r="F1120" i="2"/>
  <c r="F1124" i="2"/>
  <c r="I1125" i="2"/>
  <c r="I1126" i="2"/>
  <c r="H1127" i="2"/>
  <c r="H1128" i="2"/>
  <c r="H1129" i="2"/>
  <c r="H1130" i="2"/>
  <c r="H1131" i="2"/>
  <c r="H1132" i="2"/>
  <c r="H1133" i="2"/>
  <c r="H1134" i="2"/>
  <c r="H1135" i="2"/>
  <c r="F1137" i="2"/>
  <c r="I1138" i="2"/>
  <c r="I1139" i="2"/>
  <c r="H1140" i="2"/>
  <c r="H1141" i="2"/>
  <c r="H1142" i="2"/>
  <c r="H1143" i="2"/>
  <c r="H1144" i="2"/>
  <c r="H1145" i="2"/>
  <c r="H1146" i="2"/>
  <c r="H1147" i="2"/>
  <c r="H1148" i="2"/>
  <c r="I1151" i="2"/>
  <c r="I1150" i="2" s="1"/>
  <c r="I1152" i="2"/>
  <c r="H1153" i="2"/>
  <c r="H1154" i="2"/>
  <c r="H1155" i="2"/>
  <c r="H1156" i="2"/>
  <c r="H1157" i="2"/>
  <c r="H1158" i="2"/>
  <c r="H1159" i="2"/>
  <c r="H1160" i="2"/>
  <c r="H1161" i="2"/>
  <c r="I1164" i="2"/>
  <c r="I1165" i="2"/>
  <c r="H1166" i="2"/>
  <c r="H1167" i="2"/>
  <c r="H1168" i="2"/>
  <c r="H1169" i="2"/>
  <c r="H1170" i="2"/>
  <c r="H1171" i="2"/>
  <c r="H1172" i="2"/>
  <c r="I1175" i="2"/>
  <c r="I1176" i="2"/>
  <c r="F1180" i="2"/>
  <c r="I1181" i="2"/>
  <c r="I1180" i="2" s="1"/>
  <c r="D1182" i="2"/>
  <c r="H1182" i="2"/>
  <c r="H1180" i="2" s="1"/>
  <c r="F1184" i="2"/>
  <c r="I1185" i="2"/>
  <c r="I1184" i="2" s="1"/>
  <c r="D1186" i="2"/>
  <c r="H1186" i="2"/>
  <c r="H1184" i="2" s="1"/>
  <c r="F1188" i="2"/>
  <c r="I1189" i="2"/>
  <c r="I1188" i="2" s="1"/>
  <c r="D1190" i="2"/>
  <c r="H1190" i="2"/>
  <c r="H1188" i="2" s="1"/>
  <c r="F1192" i="2"/>
  <c r="I1193" i="2"/>
  <c r="I1192" i="2" s="1"/>
  <c r="D1194" i="2"/>
  <c r="H1194" i="2"/>
  <c r="H1192" i="2" s="1"/>
  <c r="F1196" i="2"/>
  <c r="F1198" i="2"/>
  <c r="I1199" i="2"/>
  <c r="I1200" i="2"/>
  <c r="H1201" i="2"/>
  <c r="H1198" i="2" s="1"/>
  <c r="D1202" i="2"/>
  <c r="H1202" i="2"/>
  <c r="I1205" i="2"/>
  <c r="I1206" i="2"/>
  <c r="H1207" i="2"/>
  <c r="H1204" i="2" s="1"/>
  <c r="K1204" i="2" s="1"/>
  <c r="H1208" i="2"/>
  <c r="I1211" i="2"/>
  <c r="I1212" i="2"/>
  <c r="F1215" i="2"/>
  <c r="I1216" i="2"/>
  <c r="I1217" i="2"/>
  <c r="H1218" i="2"/>
  <c r="H1215" i="2" s="1"/>
  <c r="F1220" i="2"/>
  <c r="F1227" i="2" s="1"/>
  <c r="I1221" i="2"/>
  <c r="I1222" i="2"/>
  <c r="D1223" i="2"/>
  <c r="H1223" i="2"/>
  <c r="H1220" i="2" s="1"/>
  <c r="H1224" i="2"/>
  <c r="H1225" i="2"/>
  <c r="I1228" i="2"/>
  <c r="I1227" i="2" s="1"/>
  <c r="D1229" i="2"/>
  <c r="H1229" i="2"/>
  <c r="H1227" i="2" s="1"/>
  <c r="F1233" i="2"/>
  <c r="K1233" i="2" s="1"/>
  <c r="I1233" i="2"/>
  <c r="I1236" i="2"/>
  <c r="I1237" i="2"/>
  <c r="H1238" i="2"/>
  <c r="H1235" i="2" s="1"/>
  <c r="K1235" i="2" s="1"/>
  <c r="D1239" i="2"/>
  <c r="H1239" i="2"/>
  <c r="I1270" i="2"/>
  <c r="I1269" i="2" s="1"/>
  <c r="D1271" i="2"/>
  <c r="I1273" i="2"/>
  <c r="F1300" i="2"/>
  <c r="F1304" i="2"/>
  <c r="F1306" i="2"/>
  <c r="F1314" i="2"/>
  <c r="F1318" i="2"/>
  <c r="F1334" i="2"/>
  <c r="F1338" i="2"/>
  <c r="F1342" i="2"/>
  <c r="F1346" i="2"/>
  <c r="F1350" i="2"/>
  <c r="K1350" i="2" s="1"/>
  <c r="I1350" i="2"/>
  <c r="H1356" i="2"/>
  <c r="I1361" i="2"/>
  <c r="I1362" i="2"/>
  <c r="H1363" i="2"/>
  <c r="H1364" i="2"/>
  <c r="H1365" i="2"/>
  <c r="H1366" i="2"/>
  <c r="H1367" i="2"/>
  <c r="H1368" i="2"/>
  <c r="I1373" i="2"/>
  <c r="I1374" i="2"/>
  <c r="I1377" i="2"/>
  <c r="I1378" i="2"/>
  <c r="I1376" i="2" s="1"/>
  <c r="I1381" i="2"/>
  <c r="I1380" i="2" s="1"/>
  <c r="I1382" i="2"/>
  <c r="I1385" i="2"/>
  <c r="I1386" i="2"/>
  <c r="I1384" i="2" s="1"/>
  <c r="F1390" i="2"/>
  <c r="F1394" i="2"/>
  <c r="K1394" i="2" s="1"/>
  <c r="I1394" i="2"/>
  <c r="A6" i="1"/>
  <c r="A7" i="1"/>
  <c r="A8" i="1"/>
  <c r="A9" i="1"/>
  <c r="A12" i="1"/>
  <c r="B12" i="1"/>
  <c r="A13" i="1"/>
  <c r="B13" i="1"/>
  <c r="A14" i="1"/>
  <c r="B14" i="1"/>
  <c r="A15" i="1"/>
  <c r="B15" i="1"/>
  <c r="A16" i="1"/>
  <c r="B16" i="1"/>
  <c r="A17" i="1"/>
  <c r="B17" i="1"/>
  <c r="A18" i="1"/>
  <c r="B18" i="1"/>
  <c r="A19" i="1"/>
  <c r="B19" i="1"/>
  <c r="A20" i="1"/>
  <c r="B20" i="1"/>
  <c r="A21" i="1"/>
  <c r="B21" i="1"/>
  <c r="A22" i="1"/>
  <c r="B22" i="1"/>
  <c r="A23" i="1"/>
  <c r="B23" i="1"/>
  <c r="A24" i="1"/>
  <c r="B24" i="1"/>
  <c r="A25" i="1"/>
  <c r="B25" i="1"/>
  <c r="A26" i="1"/>
  <c r="B26" i="1"/>
  <c r="A27" i="1"/>
  <c r="B27" i="1"/>
  <c r="A28" i="1"/>
  <c r="B28" i="1"/>
  <c r="A29" i="1"/>
  <c r="B29" i="1"/>
  <c r="K1356" i="2" l="1"/>
  <c r="M1356" i="2" s="1"/>
  <c r="N1356" i="2" s="1"/>
  <c r="O1356" i="2" s="1"/>
  <c r="J1356" i="2"/>
  <c r="K1342" i="2"/>
  <c r="L1342" i="2"/>
  <c r="M1342" i="2" s="1"/>
  <c r="N1342" i="2" s="1"/>
  <c r="O1342" i="2" s="1"/>
  <c r="L1314" i="2"/>
  <c r="M1314" i="2" s="1"/>
  <c r="N1314" i="2" s="1"/>
  <c r="O1314" i="2" s="1"/>
  <c r="K1314" i="2"/>
  <c r="J1273" i="2"/>
  <c r="L1273" i="2"/>
  <c r="M1273" i="2" s="1"/>
  <c r="N1273" i="2" s="1"/>
  <c r="O1273" i="2" s="1"/>
  <c r="L1233" i="2"/>
  <c r="J1233" i="2"/>
  <c r="L716" i="2"/>
  <c r="K716" i="2"/>
  <c r="K681" i="2"/>
  <c r="J681" i="2"/>
  <c r="K275" i="2"/>
  <c r="L275" i="2"/>
  <c r="M275" i="2" s="1"/>
  <c r="N275" i="2" s="1"/>
  <c r="O275" i="2" s="1"/>
  <c r="K107" i="2"/>
  <c r="L107" i="2"/>
  <c r="M238" i="2"/>
  <c r="N238" i="2" s="1"/>
  <c r="O238" i="2" s="1"/>
  <c r="L584" i="2"/>
  <c r="M584" i="2" s="1"/>
  <c r="N584" i="2" s="1"/>
  <c r="O584" i="2" s="1"/>
  <c r="K584" i="2"/>
  <c r="K1316" i="2"/>
  <c r="L1316" i="2"/>
  <c r="M1316" i="2" s="1"/>
  <c r="N1316" i="2" s="1"/>
  <c r="O1316" i="2" s="1"/>
  <c r="T155" i="3" s="1"/>
  <c r="R155" i="3" s="1"/>
  <c r="W155" i="3" s="1"/>
  <c r="L1302" i="2"/>
  <c r="M1302" i="2" s="1"/>
  <c r="N1302" i="2" s="1"/>
  <c r="O1302" i="2" s="1"/>
  <c r="K1302" i="2"/>
  <c r="L635" i="2"/>
  <c r="K635" i="2"/>
  <c r="M635" i="2" s="1"/>
  <c r="N635" i="2" s="1"/>
  <c r="O635" i="2" s="1"/>
  <c r="L70" i="2"/>
  <c r="M70" i="2" s="1"/>
  <c r="N70" i="2" s="1"/>
  <c r="O70" i="2" s="1"/>
  <c r="K70" i="2"/>
  <c r="K52" i="2"/>
  <c r="L52" i="2"/>
  <c r="M52" i="2" s="1"/>
  <c r="K92" i="2"/>
  <c r="L92" i="2"/>
  <c r="K48" i="2"/>
  <c r="L48" i="2"/>
  <c r="M48" i="2" s="1"/>
  <c r="H1360" i="2"/>
  <c r="K1360" i="2" s="1"/>
  <c r="L1338" i="2"/>
  <c r="M1338" i="2" s="1"/>
  <c r="N1338" i="2" s="1"/>
  <c r="O1338" i="2" s="1"/>
  <c r="K1338" i="2"/>
  <c r="M1233" i="2"/>
  <c r="N1233" i="2" s="1"/>
  <c r="O1233" i="2" s="1"/>
  <c r="K1198" i="2"/>
  <c r="L1078" i="2"/>
  <c r="M1078" i="2" s="1"/>
  <c r="N1078" i="2" s="1"/>
  <c r="O1078" i="2" s="1"/>
  <c r="K1078" i="2"/>
  <c r="K1050" i="2"/>
  <c r="K955" i="2"/>
  <c r="M955" i="2" s="1"/>
  <c r="N955" i="2" s="1"/>
  <c r="O955" i="2" s="1"/>
  <c r="L955" i="2"/>
  <c r="H919" i="2"/>
  <c r="K919" i="2" s="1"/>
  <c r="L903" i="2"/>
  <c r="M903" i="2" s="1"/>
  <c r="N903" i="2" s="1"/>
  <c r="O903" i="2" s="1"/>
  <c r="J903" i="2"/>
  <c r="K849" i="2"/>
  <c r="K841" i="2"/>
  <c r="I831" i="2"/>
  <c r="L761" i="2"/>
  <c r="K761" i="2"/>
  <c r="H639" i="2"/>
  <c r="K544" i="2"/>
  <c r="M544" i="2" s="1"/>
  <c r="N544" i="2" s="1"/>
  <c r="O544" i="2" s="1"/>
  <c r="J544" i="2"/>
  <c r="H494" i="2"/>
  <c r="K494" i="2" s="1"/>
  <c r="I481" i="2"/>
  <c r="H459" i="2"/>
  <c r="K459" i="2" s="1"/>
  <c r="K414" i="2"/>
  <c r="L414" i="2"/>
  <c r="H392" i="2"/>
  <c r="K392" i="2" s="1"/>
  <c r="I385" i="2"/>
  <c r="K362" i="2"/>
  <c r="L362" i="2"/>
  <c r="L273" i="2"/>
  <c r="K273" i="2"/>
  <c r="L267" i="2"/>
  <c r="M267" i="2" s="1"/>
  <c r="N267" i="2" s="1"/>
  <c r="O267" i="2" s="1"/>
  <c r="K267" i="2"/>
  <c r="J241" i="2"/>
  <c r="K241" i="2"/>
  <c r="M241" i="2" s="1"/>
  <c r="N241" i="2" s="1"/>
  <c r="O241" i="2" s="1"/>
  <c r="J235" i="2"/>
  <c r="L207" i="2"/>
  <c r="K207" i="2"/>
  <c r="K191" i="2"/>
  <c r="M191" i="2" s="1"/>
  <c r="N191" i="2" s="1"/>
  <c r="O191" i="2" s="1"/>
  <c r="J191" i="2"/>
  <c r="L105" i="2"/>
  <c r="K105" i="2"/>
  <c r="L96" i="2"/>
  <c r="M96" i="2" s="1"/>
  <c r="N96" i="2" s="1"/>
  <c r="O96" i="2" s="1"/>
  <c r="K96" i="2"/>
  <c r="L80" i="2"/>
  <c r="K80" i="2"/>
  <c r="L58" i="2"/>
  <c r="M58" i="2" s="1"/>
  <c r="N58" i="2" s="1"/>
  <c r="O58" i="2" s="1"/>
  <c r="K58" i="2"/>
  <c r="L35" i="2"/>
  <c r="M35" i="2" s="1"/>
  <c r="N35" i="2" s="1"/>
  <c r="O35" i="2" s="1"/>
  <c r="J35" i="2"/>
  <c r="K125" i="2"/>
  <c r="L125" i="2"/>
  <c r="M125" i="2" s="1"/>
  <c r="L1258" i="2"/>
  <c r="K1258" i="2"/>
  <c r="L109" i="2"/>
  <c r="K109" i="2"/>
  <c r="L135" i="2"/>
  <c r="M135" i="2" s="1"/>
  <c r="N135" i="2" s="1"/>
  <c r="O135" i="2" s="1"/>
  <c r="K135" i="2"/>
  <c r="L1243" i="2"/>
  <c r="K1243" i="2"/>
  <c r="L1334" i="2"/>
  <c r="M1334" i="2" s="1"/>
  <c r="N1334" i="2" s="1"/>
  <c r="O1334" i="2" s="1"/>
  <c r="K1334" i="2"/>
  <c r="L1304" i="2"/>
  <c r="K1304" i="2"/>
  <c r="M1304" i="2" s="1"/>
  <c r="N1304" i="2" s="1"/>
  <c r="O1304" i="2" s="1"/>
  <c r="K1227" i="2"/>
  <c r="K1192" i="2"/>
  <c r="K1188" i="2"/>
  <c r="K1184" i="2"/>
  <c r="K1180" i="2"/>
  <c r="H1163" i="2"/>
  <c r="K1163" i="2" s="1"/>
  <c r="H1092" i="2"/>
  <c r="K1092" i="2" s="1"/>
  <c r="I1045" i="2"/>
  <c r="L1045" i="2" s="1"/>
  <c r="M1045" i="2" s="1"/>
  <c r="N1045" i="2" s="1"/>
  <c r="O1045" i="2" s="1"/>
  <c r="H959" i="2"/>
  <c r="I935" i="2"/>
  <c r="H927" i="2"/>
  <c r="K927" i="2" s="1"/>
  <c r="H905" i="2"/>
  <c r="K905" i="2" s="1"/>
  <c r="H883" i="2"/>
  <c r="K883" i="2" s="1"/>
  <c r="K878" i="2"/>
  <c r="I873" i="2"/>
  <c r="L873" i="2" s="1"/>
  <c r="M873" i="2" s="1"/>
  <c r="N873" i="2" s="1"/>
  <c r="O873" i="2" s="1"/>
  <c r="I867" i="2"/>
  <c r="I810" i="2"/>
  <c r="I751" i="2"/>
  <c r="H728" i="2"/>
  <c r="K728" i="2" s="1"/>
  <c r="I718" i="2"/>
  <c r="H689" i="2"/>
  <c r="K672" i="2"/>
  <c r="L672" i="2"/>
  <c r="L651" i="2"/>
  <c r="K651" i="2"/>
  <c r="H616" i="2"/>
  <c r="K616" i="2" s="1"/>
  <c r="K573" i="2"/>
  <c r="L573" i="2"/>
  <c r="K513" i="2"/>
  <c r="M513" i="2" s="1"/>
  <c r="N513" i="2" s="1"/>
  <c r="O513" i="2" s="1"/>
  <c r="J513" i="2"/>
  <c r="J510" i="2"/>
  <c r="K510" i="2"/>
  <c r="M510" i="2" s="1"/>
  <c r="N510" i="2" s="1"/>
  <c r="O510" i="2" s="1"/>
  <c r="L479" i="2"/>
  <c r="K479" i="2"/>
  <c r="M479" i="2" s="1"/>
  <c r="N479" i="2" s="1"/>
  <c r="O479" i="2" s="1"/>
  <c r="I465" i="2"/>
  <c r="H439" i="2"/>
  <c r="K412" i="2"/>
  <c r="M412" i="2" s="1"/>
  <c r="N412" i="2" s="1"/>
  <c r="O412" i="2" s="1"/>
  <c r="L412" i="2"/>
  <c r="I398" i="2"/>
  <c r="L356" i="2"/>
  <c r="K356" i="2"/>
  <c r="H336" i="2"/>
  <c r="K336" i="2" s="1"/>
  <c r="H324" i="2"/>
  <c r="K324" i="2" s="1"/>
  <c r="H292" i="2"/>
  <c r="H279" i="2"/>
  <c r="K271" i="2"/>
  <c r="L271" i="2"/>
  <c r="K257" i="2"/>
  <c r="J257" i="2"/>
  <c r="J215" i="2"/>
  <c r="K113" i="2"/>
  <c r="L113" i="2"/>
  <c r="M113" i="2" s="1"/>
  <c r="N113" i="2" s="1"/>
  <c r="O113" i="2" s="1"/>
  <c r="K103" i="2"/>
  <c r="L103" i="2"/>
  <c r="K88" i="2"/>
  <c r="L88" i="2"/>
  <c r="M88" i="2" s="1"/>
  <c r="N88" i="2" s="1"/>
  <c r="O88" i="2" s="1"/>
  <c r="L78" i="2"/>
  <c r="M78" i="2" s="1"/>
  <c r="K78" i="2"/>
  <c r="K56" i="2"/>
  <c r="L56" i="2"/>
  <c r="M56" i="2" s="1"/>
  <c r="N56" i="2" s="1"/>
  <c r="O56" i="2" s="1"/>
  <c r="L1252" i="2"/>
  <c r="K1252" i="2"/>
  <c r="L913" i="2"/>
  <c r="K913" i="2"/>
  <c r="L853" i="2"/>
  <c r="M853" i="2" s="1"/>
  <c r="N853" i="2" s="1"/>
  <c r="O853" i="2" s="1"/>
  <c r="K853" i="2"/>
  <c r="L624" i="2"/>
  <c r="K624" i="2"/>
  <c r="M624" i="2" s="1"/>
  <c r="N624" i="2" s="1"/>
  <c r="O624" i="2" s="1"/>
  <c r="K1290" i="2"/>
  <c r="L1290" i="2"/>
  <c r="L76" i="2"/>
  <c r="K76" i="2"/>
  <c r="L94" i="2"/>
  <c r="M94" i="2" s="1"/>
  <c r="K94" i="2"/>
  <c r="K90" i="2"/>
  <c r="L90" i="2"/>
  <c r="M90" i="2" s="1"/>
  <c r="N90" i="2" s="1"/>
  <c r="O90" i="2" s="1"/>
  <c r="L54" i="2"/>
  <c r="M54" i="2" s="1"/>
  <c r="N54" i="2" s="1"/>
  <c r="O54" i="2" s="1"/>
  <c r="K54" i="2"/>
  <c r="L46" i="2"/>
  <c r="K46" i="2"/>
  <c r="H1137" i="2"/>
  <c r="K1137" i="2" s="1"/>
  <c r="H1124" i="2"/>
  <c r="K1124" i="2" s="1"/>
  <c r="L1120" i="2"/>
  <c r="K1120" i="2"/>
  <c r="M1120" i="2" s="1"/>
  <c r="N1120" i="2" s="1"/>
  <c r="O1120" i="2" s="1"/>
  <c r="H810" i="2"/>
  <c r="K763" i="2"/>
  <c r="L763" i="2"/>
  <c r="M763" i="2" s="1"/>
  <c r="N763" i="2" s="1"/>
  <c r="O763" i="2" s="1"/>
  <c r="K614" i="2"/>
  <c r="L614" i="2"/>
  <c r="L565" i="2"/>
  <c r="K565" i="2"/>
  <c r="K526" i="2"/>
  <c r="L526" i="2"/>
  <c r="K433" i="2"/>
  <c r="L433" i="2"/>
  <c r="M433" i="2" s="1"/>
  <c r="L427" i="2"/>
  <c r="M427" i="2" s="1"/>
  <c r="N427" i="2" s="1"/>
  <c r="O427" i="2" s="1"/>
  <c r="K427" i="2"/>
  <c r="H366" i="2"/>
  <c r="J358" i="2"/>
  <c r="K358" i="2"/>
  <c r="M358" i="2" s="1"/>
  <c r="N358" i="2" s="1"/>
  <c r="O358" i="2" s="1"/>
  <c r="K348" i="2"/>
  <c r="L348" i="2"/>
  <c r="M348" i="2" s="1"/>
  <c r="N348" i="2" s="1"/>
  <c r="O348" i="2" s="1"/>
  <c r="M269" i="2"/>
  <c r="N269" i="2" s="1"/>
  <c r="O269" i="2" s="1"/>
  <c r="J218" i="2"/>
  <c r="K84" i="2"/>
  <c r="L84" i="2"/>
  <c r="M84" i="2" s="1"/>
  <c r="N84" i="2" s="1"/>
  <c r="O84" i="2" s="1"/>
  <c r="K44" i="2"/>
  <c r="L44" i="2"/>
  <c r="K1264" i="2"/>
  <c r="L1264" i="2"/>
  <c r="M1264" i="2" s="1"/>
  <c r="N1264" i="2" s="1"/>
  <c r="O1264" i="2" s="1"/>
  <c r="L1394" i="2"/>
  <c r="M1394" i="2" s="1"/>
  <c r="N1394" i="2" s="1"/>
  <c r="O1394" i="2" s="1"/>
  <c r="J1394" i="2"/>
  <c r="L1350" i="2"/>
  <c r="M1350" i="2" s="1"/>
  <c r="N1350" i="2" s="1"/>
  <c r="O1350" i="2" s="1"/>
  <c r="J1350" i="2"/>
  <c r="K1306" i="2"/>
  <c r="M1306" i="2" s="1"/>
  <c r="N1306" i="2" s="1"/>
  <c r="O1306" i="2" s="1"/>
  <c r="L1306" i="2"/>
  <c r="K1215" i="2"/>
  <c r="L1196" i="2"/>
  <c r="K1196" i="2"/>
  <c r="H1150" i="2"/>
  <c r="K1150" i="2" s="1"/>
  <c r="H1084" i="2"/>
  <c r="K1084" i="2" s="1"/>
  <c r="H1055" i="2"/>
  <c r="K1055" i="2" s="1"/>
  <c r="M1055" i="2" s="1"/>
  <c r="N1055" i="2" s="1"/>
  <c r="O1055" i="2" s="1"/>
  <c r="H1039" i="2"/>
  <c r="K1039" i="2" s="1"/>
  <c r="H943" i="2"/>
  <c r="K943" i="2" s="1"/>
  <c r="K855" i="2"/>
  <c r="K845" i="2"/>
  <c r="K837" i="2"/>
  <c r="I784" i="2"/>
  <c r="H751" i="2"/>
  <c r="K751" i="2" s="1"/>
  <c r="K712" i="2"/>
  <c r="L712" i="2"/>
  <c r="M681" i="2"/>
  <c r="N681" i="2" s="1"/>
  <c r="O681" i="2" s="1"/>
  <c r="H666" i="2"/>
  <c r="K655" i="2"/>
  <c r="L655" i="2"/>
  <c r="H629" i="2"/>
  <c r="J534" i="2"/>
  <c r="K534" i="2"/>
  <c r="M534" i="2" s="1"/>
  <c r="N534" i="2" s="1"/>
  <c r="O534" i="2" s="1"/>
  <c r="I502" i="2"/>
  <c r="J431" i="2"/>
  <c r="K431" i="2"/>
  <c r="M431" i="2" s="1"/>
  <c r="N431" i="2" s="1"/>
  <c r="O431" i="2" s="1"/>
  <c r="K1390" i="2"/>
  <c r="L1390" i="2"/>
  <c r="K1346" i="2"/>
  <c r="L1346" i="2"/>
  <c r="M1346" i="2" s="1"/>
  <c r="N1346" i="2" s="1"/>
  <c r="O1346" i="2" s="1"/>
  <c r="K1318" i="2"/>
  <c r="L1318" i="2"/>
  <c r="K1300" i="2"/>
  <c r="L1300" i="2"/>
  <c r="M1300" i="2" s="1"/>
  <c r="N1300" i="2" s="1"/>
  <c r="O1300" i="2" s="1"/>
  <c r="T148" i="3" s="1"/>
  <c r="P148" i="3" s="1"/>
  <c r="W148" i="3" s="1"/>
  <c r="H1100" i="2"/>
  <c r="K1100" i="2" s="1"/>
  <c r="J1068" i="2"/>
  <c r="L1068" i="2"/>
  <c r="M1068" i="2" s="1"/>
  <c r="N1068" i="2" s="1"/>
  <c r="O1068" i="2" s="1"/>
  <c r="H1033" i="2"/>
  <c r="K1033" i="2" s="1"/>
  <c r="K1031" i="2"/>
  <c r="L1031" i="2"/>
  <c r="H998" i="2"/>
  <c r="K998" i="2" s="1"/>
  <c r="H985" i="2"/>
  <c r="K985" i="2" s="1"/>
  <c r="H972" i="2"/>
  <c r="K972" i="2" s="1"/>
  <c r="K897" i="2"/>
  <c r="L890" i="2"/>
  <c r="H821" i="2"/>
  <c r="K821" i="2" s="1"/>
  <c r="H797" i="2"/>
  <c r="K797" i="2" s="1"/>
  <c r="H784" i="2"/>
  <c r="K784" i="2" s="1"/>
  <c r="H771" i="2"/>
  <c r="K771" i="2" s="1"/>
  <c r="K767" i="2"/>
  <c r="M767" i="2" s="1"/>
  <c r="N767" i="2" s="1"/>
  <c r="O767" i="2" s="1"/>
  <c r="L767" i="2"/>
  <c r="H736" i="2"/>
  <c r="K736" i="2" s="1"/>
  <c r="L687" i="2"/>
  <c r="K687" i="2"/>
  <c r="L626" i="2"/>
  <c r="M626" i="2" s="1"/>
  <c r="N626" i="2" s="1"/>
  <c r="O626" i="2" s="1"/>
  <c r="J626" i="2"/>
  <c r="H603" i="2"/>
  <c r="K603" i="2" s="1"/>
  <c r="K571" i="2"/>
  <c r="L571" i="2"/>
  <c r="J539" i="2"/>
  <c r="K539" i="2"/>
  <c r="M539" i="2" s="1"/>
  <c r="N539" i="2" s="1"/>
  <c r="O539" i="2" s="1"/>
  <c r="L528" i="2"/>
  <c r="M528" i="2" s="1"/>
  <c r="N528" i="2" s="1"/>
  <c r="O528" i="2" s="1"/>
  <c r="K528" i="2"/>
  <c r="H520" i="2"/>
  <c r="K520" i="2" s="1"/>
  <c r="K488" i="2"/>
  <c r="I471" i="2"/>
  <c r="L435" i="2"/>
  <c r="K435" i="2"/>
  <c r="L429" i="2"/>
  <c r="M429" i="2" s="1"/>
  <c r="N429" i="2" s="1"/>
  <c r="O429" i="2" s="1"/>
  <c r="K429" i="2"/>
  <c r="H385" i="2"/>
  <c r="K385" i="2" s="1"/>
  <c r="L354" i="2"/>
  <c r="K354" i="2"/>
  <c r="I330" i="2"/>
  <c r="I318" i="2"/>
  <c r="H311" i="2"/>
  <c r="K311" i="2" s="1"/>
  <c r="J269" i="2"/>
  <c r="K269" i="2"/>
  <c r="M257" i="2"/>
  <c r="N257" i="2" s="1"/>
  <c r="O257" i="2" s="1"/>
  <c r="J238" i="2"/>
  <c r="K238" i="2"/>
  <c r="J194" i="2"/>
  <c r="K194" i="2"/>
  <c r="J180" i="2"/>
  <c r="K111" i="2"/>
  <c r="L111" i="2"/>
  <c r="M111" i="2" s="1"/>
  <c r="L86" i="2"/>
  <c r="M86" i="2" s="1"/>
  <c r="N86" i="2" s="1"/>
  <c r="O86" i="2" s="1"/>
  <c r="K86" i="2"/>
  <c r="L50" i="2"/>
  <c r="K50" i="2"/>
  <c r="L32" i="2"/>
  <c r="M32" i="2" s="1"/>
  <c r="J32" i="2"/>
  <c r="L714" i="2"/>
  <c r="K714" i="2"/>
  <c r="K129" i="2"/>
  <c r="L129" i="2"/>
  <c r="L118" i="2"/>
  <c r="K118" i="2"/>
  <c r="L1292" i="2"/>
  <c r="M1292" i="2" s="1"/>
  <c r="N1292" i="2" s="1"/>
  <c r="O1292" i="2" s="1"/>
  <c r="K1292" i="2"/>
  <c r="K1326" i="2"/>
  <c r="L1326" i="2"/>
  <c r="M1326" i="2" s="1"/>
  <c r="N1326" i="2" s="1"/>
  <c r="O1326" i="2" s="1"/>
  <c r="L953" i="2"/>
  <c r="K953" i="2"/>
  <c r="H244" i="2"/>
  <c r="K244" i="2" s="1"/>
  <c r="H197" i="2"/>
  <c r="K197" i="2" s="1"/>
  <c r="J694" i="2"/>
  <c r="L662" i="2"/>
  <c r="M662" i="2" s="1"/>
  <c r="N662" i="2" s="1"/>
  <c r="O662" i="2" s="1"/>
  <c r="J662" i="2"/>
  <c r="I603" i="2"/>
  <c r="I1070" i="2"/>
  <c r="L1070" i="2" s="1"/>
  <c r="M1070" i="2" s="1"/>
  <c r="N1070" i="2" s="1"/>
  <c r="O1070" i="2" s="1"/>
  <c r="I1055" i="2"/>
  <c r="L1055" i="2" s="1"/>
  <c r="I1033" i="2"/>
  <c r="L1033" i="2" s="1"/>
  <c r="M1033" i="2" s="1"/>
  <c r="N1033" i="2" s="1"/>
  <c r="O1033" i="2" s="1"/>
  <c r="I1009" i="2"/>
  <c r="L1009" i="2" s="1"/>
  <c r="M1009" i="2" s="1"/>
  <c r="N1009" i="2" s="1"/>
  <c r="O1009" i="2" s="1"/>
  <c r="I998" i="2"/>
  <c r="I985" i="2"/>
  <c r="L985" i="2" s="1"/>
  <c r="I972" i="2"/>
  <c r="J972" i="2" s="1"/>
  <c r="I959" i="2"/>
  <c r="I927" i="2"/>
  <c r="I919" i="2"/>
  <c r="L919" i="2" s="1"/>
  <c r="M919" i="2" s="1"/>
  <c r="N919" i="2" s="1"/>
  <c r="O919" i="2" s="1"/>
  <c r="I905" i="2"/>
  <c r="L905" i="2" s="1"/>
  <c r="M905" i="2" s="1"/>
  <c r="N905" i="2" s="1"/>
  <c r="O905" i="2" s="1"/>
  <c r="I883" i="2"/>
  <c r="J883" i="2" s="1"/>
  <c r="I861" i="2"/>
  <c r="J861" i="2" s="1"/>
  <c r="I855" i="2"/>
  <c r="L855" i="2" s="1"/>
  <c r="M855" i="2" s="1"/>
  <c r="N855" i="2" s="1"/>
  <c r="O855" i="2" s="1"/>
  <c r="I821" i="2"/>
  <c r="L821" i="2" s="1"/>
  <c r="M821" i="2" s="1"/>
  <c r="N821" i="2" s="1"/>
  <c r="O821" i="2" s="1"/>
  <c r="I797" i="2"/>
  <c r="J797" i="2" s="1"/>
  <c r="I771" i="2"/>
  <c r="I744" i="2"/>
  <c r="L744" i="2" s="1"/>
  <c r="M744" i="2" s="1"/>
  <c r="N744" i="2" s="1"/>
  <c r="O744" i="2" s="1"/>
  <c r="I736" i="2"/>
  <c r="L736" i="2" s="1"/>
  <c r="M736" i="2" s="1"/>
  <c r="N736" i="2" s="1"/>
  <c r="O736" i="2" s="1"/>
  <c r="I728" i="2"/>
  <c r="L728" i="2" s="1"/>
  <c r="M728" i="2" s="1"/>
  <c r="N728" i="2" s="1"/>
  <c r="O728" i="2" s="1"/>
  <c r="I1235" i="2"/>
  <c r="I1220" i="2"/>
  <c r="L1220" i="2" s="1"/>
  <c r="I1204" i="2"/>
  <c r="J1204" i="2" s="1"/>
  <c r="I1198" i="2"/>
  <c r="L1198" i="2" s="1"/>
  <c r="I1174" i="2"/>
  <c r="L1174" i="2" s="1"/>
  <c r="M1174" i="2" s="1"/>
  <c r="N1174" i="2" s="1"/>
  <c r="O1174" i="2" s="1"/>
  <c r="I1163" i="2"/>
  <c r="I1137" i="2"/>
  <c r="L1137" i="2" s="1"/>
  <c r="M1137" i="2" s="1"/>
  <c r="N1137" i="2" s="1"/>
  <c r="O1137" i="2" s="1"/>
  <c r="I1124" i="2"/>
  <c r="J1124" i="2" s="1"/>
  <c r="I1092" i="2"/>
  <c r="L1084" i="2"/>
  <c r="M1084" i="2" s="1"/>
  <c r="N1084" i="2" s="1"/>
  <c r="O1084" i="2" s="1"/>
  <c r="J1084" i="2"/>
  <c r="J1062" i="2"/>
  <c r="L1062" i="2"/>
  <c r="M1062" i="2" s="1"/>
  <c r="N1062" i="2" s="1"/>
  <c r="O1062" i="2" s="1"/>
  <c r="J1039" i="2"/>
  <c r="L1039" i="2"/>
  <c r="M1039" i="2" s="1"/>
  <c r="N1039" i="2" s="1"/>
  <c r="O1039" i="2" s="1"/>
  <c r="J1009" i="2"/>
  <c r="J998" i="2"/>
  <c r="L998" i="2"/>
  <c r="L972" i="2"/>
  <c r="M972" i="2" s="1"/>
  <c r="N972" i="2" s="1"/>
  <c r="O972" i="2" s="1"/>
  <c r="J959" i="2"/>
  <c r="J935" i="2"/>
  <c r="L935" i="2"/>
  <c r="J927" i="2"/>
  <c r="L927" i="2"/>
  <c r="J897" i="2"/>
  <c r="L897" i="2"/>
  <c r="M897" i="2" s="1"/>
  <c r="N897" i="2" s="1"/>
  <c r="O897" i="2" s="1"/>
  <c r="J867" i="2"/>
  <c r="L867" i="2"/>
  <c r="M867" i="2" s="1"/>
  <c r="N867" i="2" s="1"/>
  <c r="O867" i="2" s="1"/>
  <c r="L861" i="2"/>
  <c r="M861" i="2" s="1"/>
  <c r="N861" i="2" s="1"/>
  <c r="O861" i="2" s="1"/>
  <c r="L831" i="2"/>
  <c r="M831" i="2" s="1"/>
  <c r="N831" i="2" s="1"/>
  <c r="O831" i="2" s="1"/>
  <c r="J831" i="2"/>
  <c r="J810" i="2"/>
  <c r="L797" i="2"/>
  <c r="M797" i="2" s="1"/>
  <c r="N797" i="2" s="1"/>
  <c r="O797" i="2" s="1"/>
  <c r="L784" i="2"/>
  <c r="M784" i="2" s="1"/>
  <c r="N784" i="2" s="1"/>
  <c r="O784" i="2" s="1"/>
  <c r="J784" i="2"/>
  <c r="L771" i="2"/>
  <c r="M771" i="2" s="1"/>
  <c r="N771" i="2" s="1"/>
  <c r="O771" i="2" s="1"/>
  <c r="J744" i="2"/>
  <c r="L718" i="2"/>
  <c r="M718" i="2" s="1"/>
  <c r="N718" i="2" s="1"/>
  <c r="O718" i="2" s="1"/>
  <c r="J718" i="2"/>
  <c r="L502" i="2"/>
  <c r="M502" i="2" s="1"/>
  <c r="N502" i="2" s="1"/>
  <c r="O502" i="2" s="1"/>
  <c r="J502" i="2"/>
  <c r="J1235" i="2"/>
  <c r="L1235" i="2"/>
  <c r="M1235" i="2" s="1"/>
  <c r="N1235" i="2" s="1"/>
  <c r="O1235" i="2" s="1"/>
  <c r="L1227" i="2"/>
  <c r="M1227" i="2" s="1"/>
  <c r="N1227" i="2" s="1"/>
  <c r="O1227" i="2" s="1"/>
  <c r="J1227" i="2"/>
  <c r="J1163" i="2"/>
  <c r="L1163" i="2"/>
  <c r="M1163" i="2" s="1"/>
  <c r="N1163" i="2" s="1"/>
  <c r="O1163" i="2" s="1"/>
  <c r="J1150" i="2"/>
  <c r="L1150" i="2"/>
  <c r="M1150" i="2" s="1"/>
  <c r="N1150" i="2" s="1"/>
  <c r="O1150" i="2" s="1"/>
  <c r="L1124" i="2"/>
  <c r="M1124" i="2" s="1"/>
  <c r="N1124" i="2" s="1"/>
  <c r="O1124" i="2" s="1"/>
  <c r="L1100" i="2"/>
  <c r="M1100" i="2" s="1"/>
  <c r="N1100" i="2" s="1"/>
  <c r="O1100" i="2" s="1"/>
  <c r="J1100" i="2"/>
  <c r="I1108" i="2"/>
  <c r="L1108" i="2" s="1"/>
  <c r="M1108" i="2" s="1"/>
  <c r="N1108" i="2" s="1"/>
  <c r="O1108" i="2" s="1"/>
  <c r="J1108" i="2"/>
  <c r="J943" i="2"/>
  <c r="L943" i="2"/>
  <c r="M943" i="2" s="1"/>
  <c r="N943" i="2" s="1"/>
  <c r="O943" i="2" s="1"/>
  <c r="L751" i="2"/>
  <c r="M751" i="2" s="1"/>
  <c r="N751" i="2" s="1"/>
  <c r="O751" i="2" s="1"/>
  <c r="I494" i="2"/>
  <c r="J494" i="2" s="1"/>
  <c r="I488" i="2"/>
  <c r="J488" i="2"/>
  <c r="J849" i="2"/>
  <c r="L849" i="2"/>
  <c r="M849" i="2" s="1"/>
  <c r="N849" i="2" s="1"/>
  <c r="O849" i="2" s="1"/>
  <c r="J845" i="2"/>
  <c r="L845" i="2"/>
  <c r="M845" i="2" s="1"/>
  <c r="N845" i="2" s="1"/>
  <c r="O845" i="2" s="1"/>
  <c r="J841" i="2"/>
  <c r="L841" i="2"/>
  <c r="M841" i="2" s="1"/>
  <c r="N841" i="2" s="1"/>
  <c r="O841" i="2" s="1"/>
  <c r="J689" i="2"/>
  <c r="L676" i="2"/>
  <c r="M676" i="2" s="1"/>
  <c r="N676" i="2" s="1"/>
  <c r="O676" i="2" s="1"/>
  <c r="J676" i="2"/>
  <c r="L657" i="2"/>
  <c r="M657" i="2" s="1"/>
  <c r="N657" i="2" s="1"/>
  <c r="O657" i="2" s="1"/>
  <c r="J657" i="2"/>
  <c r="J639" i="2"/>
  <c r="J629" i="2"/>
  <c r="J520" i="2"/>
  <c r="L520" i="2"/>
  <c r="M520" i="2" s="1"/>
  <c r="N520" i="2" s="1"/>
  <c r="O520" i="2" s="1"/>
  <c r="I459" i="2"/>
  <c r="L459" i="2" s="1"/>
  <c r="M459" i="2" s="1"/>
  <c r="N459" i="2" s="1"/>
  <c r="O459" i="2" s="1"/>
  <c r="I452" i="2"/>
  <c r="I418" i="2"/>
  <c r="L418" i="2" s="1"/>
  <c r="M418" i="2" s="1"/>
  <c r="N418" i="2" s="1"/>
  <c r="O418" i="2" s="1"/>
  <c r="I404" i="2"/>
  <c r="L404" i="2" s="1"/>
  <c r="M404" i="2" s="1"/>
  <c r="N404" i="2" s="1"/>
  <c r="O404" i="2" s="1"/>
  <c r="I392" i="2"/>
  <c r="L392" i="2" s="1"/>
  <c r="M392" i="2" s="1"/>
  <c r="N392" i="2" s="1"/>
  <c r="O392" i="2" s="1"/>
  <c r="I379" i="2"/>
  <c r="I336" i="2"/>
  <c r="L336" i="2" s="1"/>
  <c r="M336" i="2" s="1"/>
  <c r="N336" i="2" s="1"/>
  <c r="O336" i="2" s="1"/>
  <c r="I324" i="2"/>
  <c r="L324" i="2" s="1"/>
  <c r="M324" i="2" s="1"/>
  <c r="N324" i="2" s="1"/>
  <c r="O324" i="2" s="1"/>
  <c r="I311" i="2"/>
  <c r="L311" i="2" s="1"/>
  <c r="I305" i="2"/>
  <c r="I221" i="2"/>
  <c r="J221" i="2" s="1"/>
  <c r="I197" i="2"/>
  <c r="J115" i="2"/>
  <c r="L115" i="2"/>
  <c r="M115" i="2" s="1"/>
  <c r="L98" i="2"/>
  <c r="M98" i="2" s="1"/>
  <c r="N98" i="2" s="1"/>
  <c r="O98" i="2" s="1"/>
  <c r="J98" i="2"/>
  <c r="I66" i="2"/>
  <c r="L66" i="2" s="1"/>
  <c r="M66" i="2" s="1"/>
  <c r="L63" i="2"/>
  <c r="M63" i="2" s="1"/>
  <c r="N63" i="2" s="1"/>
  <c r="O63" i="2" s="1"/>
  <c r="J63" i="2"/>
  <c r="J60" i="2"/>
  <c r="L60" i="2"/>
  <c r="M60" i="2" s="1"/>
  <c r="L1384" i="2"/>
  <c r="M1384" i="2" s="1"/>
  <c r="N1384" i="2" s="1"/>
  <c r="O1384" i="2" s="1"/>
  <c r="J1384" i="2"/>
  <c r="L1380" i="2"/>
  <c r="M1380" i="2" s="1"/>
  <c r="N1380" i="2" s="1"/>
  <c r="O1380" i="2" s="1"/>
  <c r="J1380" i="2"/>
  <c r="L1376" i="2"/>
  <c r="M1376" i="2" s="1"/>
  <c r="N1376" i="2" s="1"/>
  <c r="O1376" i="2" s="1"/>
  <c r="J1376" i="2"/>
  <c r="I1372" i="2"/>
  <c r="L1372" i="2" s="1"/>
  <c r="M1372" i="2" s="1"/>
  <c r="N1372" i="2" s="1"/>
  <c r="O1372" i="2" s="1"/>
  <c r="I1360" i="2"/>
  <c r="L1360" i="2"/>
  <c r="M1360" i="2" s="1"/>
  <c r="N1360" i="2" s="1"/>
  <c r="O1360" i="2" s="1"/>
  <c r="L1269" i="2"/>
  <c r="M1269" i="2" s="1"/>
  <c r="N1269" i="2" s="1"/>
  <c r="O1269" i="2" s="1"/>
  <c r="J1269" i="2"/>
  <c r="I1215" i="2"/>
  <c r="J1215" i="2" s="1"/>
  <c r="I1210" i="2"/>
  <c r="J1210" i="2" s="1"/>
  <c r="L1192" i="2"/>
  <c r="M1192" i="2" s="1"/>
  <c r="N1192" i="2" s="1"/>
  <c r="O1192" i="2" s="1"/>
  <c r="J1192" i="2"/>
  <c r="L1188" i="2"/>
  <c r="M1188" i="2" s="1"/>
  <c r="N1188" i="2" s="1"/>
  <c r="O1188" i="2" s="1"/>
  <c r="J1188" i="2"/>
  <c r="L1184" i="2"/>
  <c r="J1184" i="2"/>
  <c r="I1050" i="2"/>
  <c r="L1050" i="2" s="1"/>
  <c r="M1050" i="2" s="1"/>
  <c r="N1050" i="2" s="1"/>
  <c r="O1050" i="2" s="1"/>
  <c r="J1027" i="2"/>
  <c r="L1027" i="2"/>
  <c r="M1027" i="2" s="1"/>
  <c r="N1027" i="2" s="1"/>
  <c r="O1027" i="2" s="1"/>
  <c r="J1023" i="2"/>
  <c r="L1023" i="2"/>
  <c r="M1023" i="2" s="1"/>
  <c r="N1023" i="2" s="1"/>
  <c r="O1023" i="2" s="1"/>
  <c r="J1019" i="2"/>
  <c r="L1019" i="2"/>
  <c r="M1019" i="2" s="1"/>
  <c r="N1019" i="2" s="1"/>
  <c r="O1019" i="2" s="1"/>
  <c r="I878" i="2"/>
  <c r="L878" i="2" s="1"/>
  <c r="M878" i="2" s="1"/>
  <c r="N878" i="2" s="1"/>
  <c r="O878" i="2" s="1"/>
  <c r="L1215" i="2"/>
  <c r="M1215" i="2" s="1"/>
  <c r="N1215" i="2" s="1"/>
  <c r="O1215" i="2" s="1"/>
  <c r="J1180" i="2"/>
  <c r="L1180" i="2"/>
  <c r="M1180" i="2" s="1"/>
  <c r="N1180" i="2" s="1"/>
  <c r="O1180" i="2" s="1"/>
  <c r="J1045" i="2"/>
  <c r="L1015" i="2"/>
  <c r="M1015" i="2" s="1"/>
  <c r="J1015" i="2"/>
  <c r="J878" i="2"/>
  <c r="J837" i="2"/>
  <c r="L837" i="2"/>
  <c r="M837" i="2" s="1"/>
  <c r="N837" i="2" s="1"/>
  <c r="O837" i="2" s="1"/>
  <c r="L244" i="2"/>
  <c r="L221" i="2"/>
  <c r="M221" i="2" s="1"/>
  <c r="N221" i="2" s="1"/>
  <c r="O221" i="2" s="1"/>
  <c r="L197" i="2"/>
  <c r="M197" i="2" s="1"/>
  <c r="J72" i="2"/>
  <c r="L72" i="2"/>
  <c r="M72" i="2" s="1"/>
  <c r="N72" i="2" s="1"/>
  <c r="O72" i="2" s="1"/>
  <c r="J66" i="2"/>
  <c r="L481" i="2"/>
  <c r="M481" i="2" s="1"/>
  <c r="N481" i="2" s="1"/>
  <c r="O481" i="2" s="1"/>
  <c r="J481" i="2"/>
  <c r="J471" i="2"/>
  <c r="L471" i="2"/>
  <c r="M471" i="2" s="1"/>
  <c r="N471" i="2" s="1"/>
  <c r="O471" i="2" s="1"/>
  <c r="L465" i="2"/>
  <c r="M465" i="2" s="1"/>
  <c r="N465" i="2" s="1"/>
  <c r="O465" i="2" s="1"/>
  <c r="J465" i="2"/>
  <c r="L452" i="2"/>
  <c r="M452" i="2" s="1"/>
  <c r="N452" i="2" s="1"/>
  <c r="O452" i="2" s="1"/>
  <c r="J452" i="2"/>
  <c r="J398" i="2"/>
  <c r="L398" i="2"/>
  <c r="M398" i="2" s="1"/>
  <c r="N398" i="2" s="1"/>
  <c r="O398" i="2" s="1"/>
  <c r="L385" i="2"/>
  <c r="M385" i="2" s="1"/>
  <c r="N385" i="2" s="1"/>
  <c r="O385" i="2" s="1"/>
  <c r="J385" i="2"/>
  <c r="L379" i="2"/>
  <c r="M379" i="2" s="1"/>
  <c r="J379" i="2"/>
  <c r="J336" i="2"/>
  <c r="J330" i="2"/>
  <c r="L330" i="2"/>
  <c r="M330" i="2" s="1"/>
  <c r="N330" i="2" s="1"/>
  <c r="O330" i="2" s="1"/>
  <c r="J318" i="2"/>
  <c r="L318" i="2"/>
  <c r="M318" i="2" s="1"/>
  <c r="N318" i="2" s="1"/>
  <c r="O318" i="2" s="1"/>
  <c r="J305" i="2"/>
  <c r="L305" i="2"/>
  <c r="M305" i="2" s="1"/>
  <c r="K1220" i="2"/>
  <c r="K890" i="2"/>
  <c r="M890" i="2" s="1"/>
  <c r="N890" i="2" s="1"/>
  <c r="O890" i="2" s="1"/>
  <c r="J890" i="2"/>
  <c r="I116" i="4"/>
  <c r="I120" i="4" s="1"/>
  <c r="F603" i="2"/>
  <c r="L603" i="2" s="1"/>
  <c r="M603" i="2" s="1"/>
  <c r="N603" i="2" s="1"/>
  <c r="O603" i="2" s="1"/>
  <c r="F231" i="2"/>
  <c r="F592" i="2"/>
  <c r="D296" i="4"/>
  <c r="F704" i="2" s="1"/>
  <c r="F245" i="4"/>
  <c r="F215" i="2" s="1"/>
  <c r="L215" i="2" s="1"/>
  <c r="N120" i="4"/>
  <c r="D118" i="4"/>
  <c r="F1280" i="2" s="1"/>
  <c r="L59" i="4"/>
  <c r="F1298" i="2" s="1"/>
  <c r="F1118" i="2"/>
  <c r="F959" i="2"/>
  <c r="F935" i="2"/>
  <c r="K935" i="2" s="1"/>
  <c r="F810" i="2"/>
  <c r="L810" i="2" s="1"/>
  <c r="F488" i="2"/>
  <c r="L488" i="2" s="1"/>
  <c r="M488" i="2" s="1"/>
  <c r="H184" i="4"/>
  <c r="F689" i="2" s="1"/>
  <c r="L689" i="2" s="1"/>
  <c r="K151" i="4"/>
  <c r="J133" i="4"/>
  <c r="F137" i="2" s="1"/>
  <c r="L82" i="4"/>
  <c r="F1312" i="2" s="1"/>
  <c r="F674" i="2"/>
  <c r="F127" i="2"/>
  <c r="F616" i="2"/>
  <c r="L616" i="2" s="1"/>
  <c r="M616" i="2" s="1"/>
  <c r="N616" i="2" s="1"/>
  <c r="O616" i="2" s="1"/>
  <c r="F629" i="2"/>
  <c r="L629" i="2" s="1"/>
  <c r="F586" i="2"/>
  <c r="F213" i="4"/>
  <c r="F194" i="2" s="1"/>
  <c r="L194" i="2" s="1"/>
  <c r="F197" i="4"/>
  <c r="F180" i="2" s="1"/>
  <c r="L180" i="2" s="1"/>
  <c r="J184" i="4"/>
  <c r="J168" i="4"/>
  <c r="J151" i="4"/>
  <c r="F147" i="2" s="1"/>
  <c r="F104" i="4"/>
  <c r="F645" i="2" s="1"/>
  <c r="M58" i="4"/>
  <c r="O184" i="4"/>
  <c r="F596" i="2" s="1"/>
  <c r="O151" i="4"/>
  <c r="F580" i="2" s="1"/>
  <c r="K82" i="4"/>
  <c r="F567" i="2" s="1"/>
  <c r="F235" i="4"/>
  <c r="F212" i="2" s="1"/>
  <c r="J104" i="4"/>
  <c r="F694" i="2" s="1"/>
  <c r="K694" i="2" s="1"/>
  <c r="H104" i="4"/>
  <c r="F544" i="2" s="1"/>
  <c r="L544" i="2" s="1"/>
  <c r="L31" i="4"/>
  <c r="F1288" i="2" s="1"/>
  <c r="T143" i="3"/>
  <c r="P143" i="3" s="1"/>
  <c r="W143" i="3" s="1"/>
  <c r="D302" i="4"/>
  <c r="F708" i="2" s="1"/>
  <c r="F221" i="4"/>
  <c r="L184" i="4"/>
  <c r="I184" i="4"/>
  <c r="F1328" i="2" s="1"/>
  <c r="L168" i="4"/>
  <c r="O168" i="4"/>
  <c r="F588" i="2" s="1"/>
  <c r="L151" i="4"/>
  <c r="M102" i="4"/>
  <c r="K59" i="4"/>
  <c r="F561" i="2" s="1"/>
  <c r="T66" i="3"/>
  <c r="J66" i="3" s="1"/>
  <c r="W66" i="3" s="1"/>
  <c r="T24" i="3"/>
  <c r="D24" i="3" s="1"/>
  <c r="W24" i="3" s="1"/>
  <c r="T20" i="3"/>
  <c r="R20" i="3" s="1"/>
  <c r="W20" i="3" s="1"/>
  <c r="T15" i="3"/>
  <c r="L360" i="2"/>
  <c r="M360" i="2" s="1"/>
  <c r="O16" i="2"/>
  <c r="T16" i="3"/>
  <c r="D16" i="3" s="1"/>
  <c r="W16" i="3" s="1"/>
  <c r="F260" i="4"/>
  <c r="F241" i="2" s="1"/>
  <c r="L241" i="2" s="1"/>
  <c r="M104" i="4"/>
  <c r="F1322" i="2" s="1"/>
  <c r="K184" i="4"/>
  <c r="F165" i="2" s="1"/>
  <c r="F193" i="4"/>
  <c r="F176" i="2" s="1"/>
  <c r="G192" i="4"/>
  <c r="H192" i="4" s="1"/>
  <c r="H193" i="4" s="1"/>
  <c r="M168" i="4"/>
  <c r="F254" i="4"/>
  <c r="F235" i="2" s="1"/>
  <c r="L235" i="2" s="1"/>
  <c r="F241" i="4"/>
  <c r="F218" i="2" s="1"/>
  <c r="L218" i="2" s="1"/>
  <c r="F207" i="4"/>
  <c r="M184" i="4"/>
  <c r="F163" i="2" s="1"/>
  <c r="K168" i="4"/>
  <c r="F156" i="2" s="1"/>
  <c r="M151" i="4"/>
  <c r="F145" i="2" s="1"/>
  <c r="N112" i="4"/>
  <c r="M59" i="4"/>
  <c r="F1296" i="2" s="1"/>
  <c r="M80" i="4"/>
  <c r="M82" i="4" s="1"/>
  <c r="F1310" i="2" s="1"/>
  <c r="M27" i="4"/>
  <c r="M31" i="4" s="1"/>
  <c r="F1286" i="2" s="1"/>
  <c r="L104" i="4"/>
  <c r="F1324" i="2" s="1"/>
  <c r="N32" i="2" l="1"/>
  <c r="O32" i="2"/>
  <c r="K231" i="2"/>
  <c r="L231" i="2"/>
  <c r="M231" i="2" s="1"/>
  <c r="N231" i="2" s="1"/>
  <c r="O231" i="2" s="1"/>
  <c r="K1310" i="2"/>
  <c r="L1310" i="2"/>
  <c r="L156" i="2"/>
  <c r="K156" i="2"/>
  <c r="L165" i="2"/>
  <c r="M165" i="2" s="1"/>
  <c r="N165" i="2" s="1"/>
  <c r="O165" i="2" s="1"/>
  <c r="K165" i="2"/>
  <c r="K1328" i="2"/>
  <c r="L1328" i="2"/>
  <c r="M1328" i="2" s="1"/>
  <c r="N1328" i="2" s="1"/>
  <c r="O1328" i="2" s="1"/>
  <c r="L212" i="2"/>
  <c r="K212" i="2"/>
  <c r="L674" i="2"/>
  <c r="K674" i="2"/>
  <c r="J279" i="2"/>
  <c r="K279" i="2"/>
  <c r="M279" i="2" s="1"/>
  <c r="N279" i="2" s="1"/>
  <c r="O279" i="2" s="1"/>
  <c r="L567" i="2"/>
  <c r="K567" i="2"/>
  <c r="L645" i="2"/>
  <c r="K645" i="2"/>
  <c r="J1055" i="2"/>
  <c r="J404" i="2"/>
  <c r="M935" i="2"/>
  <c r="N935" i="2" s="1"/>
  <c r="O935" i="2" s="1"/>
  <c r="M985" i="2"/>
  <c r="N985" i="2" s="1"/>
  <c r="O985" i="2" s="1"/>
  <c r="N111" i="2"/>
  <c r="O111" i="2"/>
  <c r="M354" i="2"/>
  <c r="N354" i="2" s="1"/>
  <c r="O354" i="2" s="1"/>
  <c r="M687" i="2"/>
  <c r="N687" i="2" s="1"/>
  <c r="O687" i="2" s="1"/>
  <c r="J666" i="2"/>
  <c r="K666" i="2"/>
  <c r="M666" i="2" s="1"/>
  <c r="N666" i="2" s="1"/>
  <c r="O666" i="2" s="1"/>
  <c r="M565" i="2"/>
  <c r="N565" i="2" s="1"/>
  <c r="O565" i="2" s="1"/>
  <c r="M46" i="2"/>
  <c r="N46" i="2" s="1"/>
  <c r="O46" i="2" s="1"/>
  <c r="M76" i="2"/>
  <c r="N76" i="2" s="1"/>
  <c r="O76" i="2" s="1"/>
  <c r="M913" i="2"/>
  <c r="N913" i="2" s="1"/>
  <c r="O913" i="2" s="1"/>
  <c r="K292" i="2"/>
  <c r="M292" i="2" s="1"/>
  <c r="N292" i="2" s="1"/>
  <c r="O292" i="2" s="1"/>
  <c r="J292" i="2"/>
  <c r="M356" i="2"/>
  <c r="N356" i="2" s="1"/>
  <c r="O356" i="2" s="1"/>
  <c r="K689" i="2"/>
  <c r="M689" i="2" s="1"/>
  <c r="N689" i="2" s="1"/>
  <c r="O689" i="2" s="1"/>
  <c r="O125" i="2"/>
  <c r="N125" i="2"/>
  <c r="M80" i="2"/>
  <c r="N80" i="2" s="1"/>
  <c r="O80" i="2" s="1"/>
  <c r="M105" i="2"/>
  <c r="N105" i="2" s="1"/>
  <c r="O105" i="2" s="1"/>
  <c r="M207" i="2"/>
  <c r="N207" i="2" s="1"/>
  <c r="O207" i="2" s="1"/>
  <c r="M273" i="2"/>
  <c r="N273" i="2" s="1"/>
  <c r="O273" i="2" s="1"/>
  <c r="N48" i="2"/>
  <c r="O48" i="2" s="1"/>
  <c r="O52" i="2"/>
  <c r="N52" i="2"/>
  <c r="M716" i="2"/>
  <c r="N716" i="2" s="1"/>
  <c r="O716" i="2" s="1"/>
  <c r="L1324" i="2"/>
  <c r="K1324" i="2"/>
  <c r="K588" i="2"/>
  <c r="L588" i="2"/>
  <c r="L580" i="2"/>
  <c r="K580" i="2"/>
  <c r="L147" i="2"/>
  <c r="M147" i="2" s="1"/>
  <c r="N147" i="2" s="1"/>
  <c r="O147" i="2" s="1"/>
  <c r="K147" i="2"/>
  <c r="M194" i="2"/>
  <c r="N194" i="2" s="1"/>
  <c r="O194" i="2" s="1"/>
  <c r="F139" i="2"/>
  <c r="K137" i="2"/>
  <c r="L137" i="2"/>
  <c r="K1298" i="2"/>
  <c r="L1298" i="2"/>
  <c r="M1298" i="2" s="1"/>
  <c r="N1298" i="2" s="1"/>
  <c r="O1298" i="2" s="1"/>
  <c r="T147" i="3" s="1"/>
  <c r="P147" i="3" s="1"/>
  <c r="W147" i="3" s="1"/>
  <c r="L704" i="2"/>
  <c r="K704" i="2"/>
  <c r="J311" i="2"/>
  <c r="J324" i="2"/>
  <c r="J392" i="2"/>
  <c r="J244" i="2"/>
  <c r="J873" i="2"/>
  <c r="M1184" i="2"/>
  <c r="N1184" i="2" s="1"/>
  <c r="O1184" i="2" s="1"/>
  <c r="J1372" i="2"/>
  <c r="J616" i="2"/>
  <c r="J751" i="2"/>
  <c r="J1198" i="2"/>
  <c r="J603" i="2"/>
  <c r="J855" i="2"/>
  <c r="L883" i="2"/>
  <c r="M883" i="2" s="1"/>
  <c r="N883" i="2" s="1"/>
  <c r="O883" i="2" s="1"/>
  <c r="J919" i="2"/>
  <c r="J985" i="2"/>
  <c r="J1092" i="2"/>
  <c r="J771" i="2"/>
  <c r="L694" i="2"/>
  <c r="M694" i="2" s="1"/>
  <c r="N694" i="2" s="1"/>
  <c r="O694" i="2" s="1"/>
  <c r="M118" i="2"/>
  <c r="N118" i="2" s="1"/>
  <c r="O118" i="2" s="1"/>
  <c r="M714" i="2"/>
  <c r="N714" i="2" s="1"/>
  <c r="O714" i="2" s="1"/>
  <c r="M50" i="2"/>
  <c r="N50" i="2" s="1"/>
  <c r="O50" i="2" s="1"/>
  <c r="M435" i="2"/>
  <c r="N435" i="2" s="1"/>
  <c r="O435" i="2" s="1"/>
  <c r="M571" i="2"/>
  <c r="N571" i="2" s="1"/>
  <c r="O571" i="2" s="1"/>
  <c r="M1031" i="2"/>
  <c r="N1031" i="2" s="1"/>
  <c r="O1031" i="2" s="1"/>
  <c r="M1318" i="2"/>
  <c r="N1318" i="2" s="1"/>
  <c r="O1318" i="2" s="1"/>
  <c r="M1390" i="2"/>
  <c r="N1390" i="2" s="1"/>
  <c r="O1390" i="2" s="1"/>
  <c r="K629" i="2"/>
  <c r="M629" i="2" s="1"/>
  <c r="N629" i="2" s="1"/>
  <c r="O629" i="2" s="1"/>
  <c r="T91" i="3" s="1"/>
  <c r="J91" i="3" s="1"/>
  <c r="W91" i="3" s="1"/>
  <c r="M44" i="2"/>
  <c r="K218" i="2"/>
  <c r="M218" i="2" s="1"/>
  <c r="N218" i="2" s="1"/>
  <c r="O218" i="2" s="1"/>
  <c r="M526" i="2"/>
  <c r="N526" i="2" s="1"/>
  <c r="O526" i="2" s="1"/>
  <c r="M614" i="2"/>
  <c r="N614" i="2" s="1"/>
  <c r="O614" i="2" s="1"/>
  <c r="K810" i="2"/>
  <c r="M810" i="2" s="1"/>
  <c r="N810" i="2" s="1"/>
  <c r="O810" i="2" s="1"/>
  <c r="M1290" i="2"/>
  <c r="N1290" i="2" s="1"/>
  <c r="O1290" i="2" s="1"/>
  <c r="M1252" i="2"/>
  <c r="N1252" i="2" s="1"/>
  <c r="O1252" i="2" s="1"/>
  <c r="M103" i="2"/>
  <c r="M271" i="2"/>
  <c r="N271" i="2" s="1"/>
  <c r="O271" i="2" s="1"/>
  <c r="K439" i="2"/>
  <c r="M439" i="2" s="1"/>
  <c r="J439" i="2"/>
  <c r="M573" i="2"/>
  <c r="N573" i="2" s="1"/>
  <c r="O573" i="2" s="1"/>
  <c r="M651" i="2"/>
  <c r="N651" i="2" s="1"/>
  <c r="O651" i="2" s="1"/>
  <c r="M1243" i="2"/>
  <c r="N1243" i="2" s="1"/>
  <c r="O1243" i="2" s="1"/>
  <c r="M109" i="2"/>
  <c r="N109" i="2" s="1"/>
  <c r="O109" i="2" s="1"/>
  <c r="K235" i="2"/>
  <c r="M235" i="2" s="1"/>
  <c r="N235" i="2" s="1"/>
  <c r="O235" i="2" s="1"/>
  <c r="M107" i="2"/>
  <c r="N107" i="2" s="1"/>
  <c r="O107" i="2" s="1"/>
  <c r="O433" i="2"/>
  <c r="N433" i="2"/>
  <c r="L1296" i="2"/>
  <c r="K1296" i="2"/>
  <c r="M1296" i="2" s="1"/>
  <c r="N1296" i="2" s="1"/>
  <c r="O1296" i="2" s="1"/>
  <c r="K163" i="2"/>
  <c r="L163" i="2"/>
  <c r="L1322" i="2"/>
  <c r="K1322" i="2"/>
  <c r="K1288" i="2"/>
  <c r="L1288" i="2"/>
  <c r="L1312" i="2"/>
  <c r="K1312" i="2"/>
  <c r="K1118" i="2"/>
  <c r="L1118" i="2"/>
  <c r="J905" i="2"/>
  <c r="K366" i="2"/>
  <c r="M366" i="2" s="1"/>
  <c r="N366" i="2" s="1"/>
  <c r="O366" i="2" s="1"/>
  <c r="J366" i="2"/>
  <c r="L1286" i="2"/>
  <c r="K1286" i="2"/>
  <c r="K145" i="2"/>
  <c r="L145" i="2"/>
  <c r="M145" i="2" s="1"/>
  <c r="N145" i="2" s="1"/>
  <c r="O145" i="2" s="1"/>
  <c r="L176" i="2"/>
  <c r="M176" i="2" s="1"/>
  <c r="N176" i="2" s="1"/>
  <c r="O176" i="2" s="1"/>
  <c r="K176" i="2"/>
  <c r="K561" i="2"/>
  <c r="L561" i="2"/>
  <c r="M561" i="2" s="1"/>
  <c r="N561" i="2" s="1"/>
  <c r="O561" i="2" s="1"/>
  <c r="K708" i="2"/>
  <c r="L708" i="2"/>
  <c r="K596" i="2"/>
  <c r="L596" i="2"/>
  <c r="M596" i="2" s="1"/>
  <c r="N596" i="2" s="1"/>
  <c r="O596" i="2" s="1"/>
  <c r="K586" i="2"/>
  <c r="L586" i="2"/>
  <c r="L127" i="2"/>
  <c r="K127" i="2"/>
  <c r="L1280" i="2"/>
  <c r="M1280" i="2" s="1"/>
  <c r="N1280" i="2" s="1"/>
  <c r="O1280" i="2" s="1"/>
  <c r="K1280" i="2"/>
  <c r="L592" i="2"/>
  <c r="K592" i="2"/>
  <c r="M1220" i="2"/>
  <c r="N1220" i="2" s="1"/>
  <c r="O1220" i="2" s="1"/>
  <c r="J418" i="2"/>
  <c r="M244" i="2"/>
  <c r="N244" i="2" s="1"/>
  <c r="O244" i="2" s="1"/>
  <c r="J1360" i="2"/>
  <c r="M311" i="2"/>
  <c r="N311" i="2" s="1"/>
  <c r="O311" i="2" s="1"/>
  <c r="J459" i="2"/>
  <c r="L494" i="2"/>
  <c r="M494" i="2" s="1"/>
  <c r="N494" i="2" s="1"/>
  <c r="O494" i="2" s="1"/>
  <c r="L1204" i="2"/>
  <c r="M1204" i="2" s="1"/>
  <c r="N1204" i="2" s="1"/>
  <c r="O1204" i="2" s="1"/>
  <c r="J821" i="2"/>
  <c r="M927" i="2"/>
  <c r="N927" i="2" s="1"/>
  <c r="O927" i="2" s="1"/>
  <c r="M998" i="2"/>
  <c r="N998" i="2" s="1"/>
  <c r="O998" i="2" s="1"/>
  <c r="J1033" i="2"/>
  <c r="M1198" i="2"/>
  <c r="N1198" i="2" s="1"/>
  <c r="O1198" i="2" s="1"/>
  <c r="J728" i="2"/>
  <c r="L959" i="2"/>
  <c r="M953" i="2"/>
  <c r="N953" i="2" s="1"/>
  <c r="O953" i="2" s="1"/>
  <c r="M129" i="2"/>
  <c r="K180" i="2"/>
  <c r="M180" i="2" s="1"/>
  <c r="N180" i="2" s="1"/>
  <c r="O180" i="2" s="1"/>
  <c r="M655" i="2"/>
  <c r="N655" i="2" s="1"/>
  <c r="O655" i="2" s="1"/>
  <c r="M712" i="2"/>
  <c r="N712" i="2" s="1"/>
  <c r="O712" i="2" s="1"/>
  <c r="M1196" i="2"/>
  <c r="N1196" i="2" s="1"/>
  <c r="O1196" i="2" s="1"/>
  <c r="N94" i="2"/>
  <c r="O94" i="2"/>
  <c r="N78" i="2"/>
  <c r="O78" i="2" s="1"/>
  <c r="K215" i="2"/>
  <c r="M215" i="2" s="1"/>
  <c r="N215" i="2" s="1"/>
  <c r="O215" i="2" s="1"/>
  <c r="M672" i="2"/>
  <c r="N672" i="2" s="1"/>
  <c r="O672" i="2" s="1"/>
  <c r="K959" i="2"/>
  <c r="M1258" i="2"/>
  <c r="N1258" i="2" s="1"/>
  <c r="O1258" i="2" s="1"/>
  <c r="M362" i="2"/>
  <c r="N362" i="2" s="1"/>
  <c r="O362" i="2" s="1"/>
  <c r="M414" i="2"/>
  <c r="N414" i="2" s="1"/>
  <c r="O414" i="2" s="1"/>
  <c r="M761" i="2"/>
  <c r="N761" i="2" s="1"/>
  <c r="O761" i="2" s="1"/>
  <c r="M92" i="2"/>
  <c r="N92" i="2" s="1"/>
  <c r="O92" i="2" s="1"/>
  <c r="J197" i="2"/>
  <c r="J1070" i="2"/>
  <c r="J736" i="2"/>
  <c r="J1220" i="2"/>
  <c r="J1174" i="2"/>
  <c r="J1137" i="2"/>
  <c r="L1092" i="2"/>
  <c r="M1092" i="2" s="1"/>
  <c r="N1092" i="2" s="1"/>
  <c r="O1092" i="2" s="1"/>
  <c r="N488" i="2"/>
  <c r="O488" i="2" s="1"/>
  <c r="N115" i="2"/>
  <c r="O115" i="2" s="1"/>
  <c r="O60" i="2"/>
  <c r="N60" i="2"/>
  <c r="L1210" i="2"/>
  <c r="M1210" i="2" s="1"/>
  <c r="N1210" i="2" s="1"/>
  <c r="O1210" i="2" s="1"/>
  <c r="J1050" i="2"/>
  <c r="N1015" i="2"/>
  <c r="O1015" i="2" s="1"/>
  <c r="N197" i="2"/>
  <c r="O197" i="2" s="1"/>
  <c r="N66" i="2"/>
  <c r="O66" i="2" s="1"/>
  <c r="N379" i="2"/>
  <c r="O379" i="2" s="1"/>
  <c r="N305" i="2"/>
  <c r="O305" i="2" s="1"/>
  <c r="F594" i="2"/>
  <c r="F154" i="2"/>
  <c r="T110" i="3"/>
  <c r="P110" i="3" s="1"/>
  <c r="W110" i="3" s="1"/>
  <c r="T130" i="3"/>
  <c r="J130" i="3" s="1"/>
  <c r="W130" i="3" s="1"/>
  <c r="F639" i="2"/>
  <c r="L639" i="2" s="1"/>
  <c r="F149" i="2"/>
  <c r="T132" i="3"/>
  <c r="J132" i="3" s="1"/>
  <c r="W132" i="3" s="1"/>
  <c r="G221" i="4"/>
  <c r="F187" i="2"/>
  <c r="W165" i="3"/>
  <c r="T165" i="3"/>
  <c r="R165" i="3" s="1"/>
  <c r="T142" i="3"/>
  <c r="P142" i="3" s="1"/>
  <c r="W142" i="3" s="1"/>
  <c r="T160" i="3"/>
  <c r="R160" i="3" s="1"/>
  <c r="W160" i="3"/>
  <c r="W138" i="3"/>
  <c r="T138" i="3"/>
  <c r="T149" i="3"/>
  <c r="P149" i="3" s="1"/>
  <c r="W149" i="3" s="1"/>
  <c r="N360" i="2"/>
  <c r="O360" i="2" s="1"/>
  <c r="T44" i="3"/>
  <c r="J15" i="3"/>
  <c r="R15" i="3"/>
  <c r="D15" i="3"/>
  <c r="L15" i="3"/>
  <c r="F15" i="3"/>
  <c r="N15" i="3"/>
  <c r="H15" i="3"/>
  <c r="P15" i="3"/>
  <c r="T19" i="3"/>
  <c r="O22" i="2"/>
  <c r="C13" i="1" s="1"/>
  <c r="T173" i="3"/>
  <c r="R173" i="3" s="1"/>
  <c r="W173" i="3"/>
  <c r="T49" i="3"/>
  <c r="H49" i="3" s="1"/>
  <c r="W49" i="3" s="1"/>
  <c r="T75" i="3"/>
  <c r="N75" i="3" s="1"/>
  <c r="W75" i="3" s="1"/>
  <c r="T109" i="3"/>
  <c r="H109" i="3" s="1"/>
  <c r="W109" i="3" s="1"/>
  <c r="F158" i="2"/>
  <c r="T14" i="3"/>
  <c r="O14" i="2"/>
  <c r="T65" i="3"/>
  <c r="H65" i="3" s="1"/>
  <c r="W65" i="3" s="1"/>
  <c r="T74" i="3"/>
  <c r="T117" i="3"/>
  <c r="P117" i="3" s="1"/>
  <c r="W117" i="3" s="1"/>
  <c r="T150" i="3"/>
  <c r="P150" i="3" s="1"/>
  <c r="W150" i="3" s="1"/>
  <c r="T167" i="3"/>
  <c r="R167" i="3" s="1"/>
  <c r="W167" i="3" s="1"/>
  <c r="T144" i="3"/>
  <c r="P144" i="3" s="1"/>
  <c r="W144" i="3" s="1"/>
  <c r="T116" i="3"/>
  <c r="J116" i="3" s="1"/>
  <c r="W116" i="3" s="1"/>
  <c r="F167" i="2"/>
  <c r="T64" i="3"/>
  <c r="H64" i="3" s="1"/>
  <c r="W64" i="3" s="1"/>
  <c r="T156" i="3"/>
  <c r="R156" i="3" s="1"/>
  <c r="W156" i="3" s="1"/>
  <c r="T67" i="3"/>
  <c r="P67" i="3" s="1"/>
  <c r="W67" i="3" s="1"/>
  <c r="G193" i="4"/>
  <c r="F551" i="2" s="1"/>
  <c r="T124" i="3"/>
  <c r="P124" i="3" s="1"/>
  <c r="W124" i="3" s="1"/>
  <c r="T123" i="3"/>
  <c r="L123" i="3" s="1"/>
  <c r="W123" i="3" s="1"/>
  <c r="T154" i="3"/>
  <c r="R154" i="3" s="1"/>
  <c r="W154" i="3" s="1"/>
  <c r="L139" i="2" l="1"/>
  <c r="K139" i="2"/>
  <c r="L594" i="2"/>
  <c r="K594" i="2"/>
  <c r="M959" i="2"/>
  <c r="N959" i="2" s="1"/>
  <c r="O959" i="2" s="1"/>
  <c r="M127" i="2"/>
  <c r="N127" i="2" s="1"/>
  <c r="O127" i="2" s="1"/>
  <c r="M580" i="2"/>
  <c r="N580" i="2" s="1"/>
  <c r="O580" i="2" s="1"/>
  <c r="M1324" i="2"/>
  <c r="N1324" i="2" s="1"/>
  <c r="O1324" i="2" s="1"/>
  <c r="K551" i="2"/>
  <c r="L551" i="2"/>
  <c r="M551" i="2" s="1"/>
  <c r="N551" i="2" s="1"/>
  <c r="O551" i="2" s="1"/>
  <c r="K167" i="2"/>
  <c r="L167" i="2"/>
  <c r="M167" i="2" s="1"/>
  <c r="K149" i="2"/>
  <c r="L149" i="2"/>
  <c r="M149" i="2" s="1"/>
  <c r="N149" i="2" s="1"/>
  <c r="O149" i="2" s="1"/>
  <c r="L154" i="2"/>
  <c r="K154" i="2"/>
  <c r="M586" i="2"/>
  <c r="N586" i="2" s="1"/>
  <c r="O586" i="2" s="1"/>
  <c r="M708" i="2"/>
  <c r="M1286" i="2"/>
  <c r="N1286" i="2" s="1"/>
  <c r="O1286" i="2" s="1"/>
  <c r="M1312" i="2"/>
  <c r="N1312" i="2" s="1"/>
  <c r="O1312" i="2" s="1"/>
  <c r="T153" i="3" s="1"/>
  <c r="R153" i="3" s="1"/>
  <c r="W153" i="3" s="1"/>
  <c r="M1322" i="2"/>
  <c r="N1322" i="2" s="1"/>
  <c r="O1322" i="2" s="1"/>
  <c r="K639" i="2"/>
  <c r="N44" i="2"/>
  <c r="O44" i="2"/>
  <c r="M704" i="2"/>
  <c r="N704" i="2" s="1"/>
  <c r="O704" i="2" s="1"/>
  <c r="M137" i="2"/>
  <c r="N137" i="2" s="1"/>
  <c r="O137" i="2" s="1"/>
  <c r="M588" i="2"/>
  <c r="N588" i="2" s="1"/>
  <c r="O588" i="2" s="1"/>
  <c r="M567" i="2"/>
  <c r="N567" i="2" s="1"/>
  <c r="O567" i="2" s="1"/>
  <c r="T80" i="3" s="1"/>
  <c r="L80" i="3" s="1"/>
  <c r="W80" i="3" s="1"/>
  <c r="M674" i="2"/>
  <c r="N674" i="2" s="1"/>
  <c r="O674" i="2" s="1"/>
  <c r="M156" i="2"/>
  <c r="N156" i="2" s="1"/>
  <c r="O156" i="2" s="1"/>
  <c r="L158" i="2"/>
  <c r="K158" i="2"/>
  <c r="M158" i="2" s="1"/>
  <c r="N158" i="2" s="1"/>
  <c r="O158" i="2" s="1"/>
  <c r="M592" i="2"/>
  <c r="N592" i="2" s="1"/>
  <c r="O592" i="2" s="1"/>
  <c r="N439" i="2"/>
  <c r="O439" i="2"/>
  <c r="L187" i="2"/>
  <c r="M187" i="2" s="1"/>
  <c r="N187" i="2" s="1"/>
  <c r="O187" i="2" s="1"/>
  <c r="K187" i="2"/>
  <c r="M639" i="2"/>
  <c r="N639" i="2" s="1"/>
  <c r="O639" i="2" s="1"/>
  <c r="N129" i="2"/>
  <c r="O129" i="2"/>
  <c r="M1118" i="2"/>
  <c r="N1118" i="2" s="1"/>
  <c r="O1118" i="2" s="1"/>
  <c r="M1288" i="2"/>
  <c r="N1288" i="2" s="1"/>
  <c r="O1288" i="2" s="1"/>
  <c r="M163" i="2"/>
  <c r="N163" i="2" s="1"/>
  <c r="O163" i="2" s="1"/>
  <c r="N103" i="2"/>
  <c r="O103" i="2" s="1"/>
  <c r="T27" i="3" s="1"/>
  <c r="F27" i="3" s="1"/>
  <c r="W27" i="3" s="1"/>
  <c r="M645" i="2"/>
  <c r="N645" i="2" s="1"/>
  <c r="O645" i="2" s="1"/>
  <c r="M212" i="2"/>
  <c r="N212" i="2" s="1"/>
  <c r="O212" i="2" s="1"/>
  <c r="M1310" i="2"/>
  <c r="N1310" i="2" s="1"/>
  <c r="O1310" i="2" s="1"/>
  <c r="T57" i="3"/>
  <c r="L57" i="3" s="1"/>
  <c r="W57" i="3" s="1"/>
  <c r="T81" i="3"/>
  <c r="N81" i="3" s="1"/>
  <c r="W81" i="3" s="1"/>
  <c r="W164" i="3"/>
  <c r="T164" i="3"/>
  <c r="R164" i="3" s="1"/>
  <c r="T120" i="3"/>
  <c r="L120" i="3" s="1"/>
  <c r="W120" i="3" s="1"/>
  <c r="T103" i="3"/>
  <c r="L103" i="3" s="1"/>
  <c r="W103" i="3" s="1"/>
  <c r="T112" i="3"/>
  <c r="J112" i="3" s="1"/>
  <c r="W112" i="3" s="1"/>
  <c r="H221" i="4"/>
  <c r="F557" i="2"/>
  <c r="T52" i="3"/>
  <c r="J52" i="3" s="1"/>
  <c r="W52" i="3" s="1"/>
  <c r="T85" i="3"/>
  <c r="N85" i="3" s="1"/>
  <c r="W85" i="3" s="1"/>
  <c r="T163" i="3"/>
  <c r="R163" i="3" s="1"/>
  <c r="W163" i="3"/>
  <c r="T128" i="3"/>
  <c r="O1246" i="2"/>
  <c r="C26" i="1" s="1"/>
  <c r="T58" i="3"/>
  <c r="N58" i="3" s="1"/>
  <c r="T135" i="3"/>
  <c r="O1267" i="2"/>
  <c r="C27" i="1" s="1"/>
  <c r="T89" i="3"/>
  <c r="T54" i="3"/>
  <c r="L54" i="3" s="1"/>
  <c r="T73" i="3"/>
  <c r="O530" i="2"/>
  <c r="L74" i="3"/>
  <c r="N74" i="3"/>
  <c r="W171" i="3"/>
  <c r="O1352" i="2"/>
  <c r="T171" i="3"/>
  <c r="T115" i="3"/>
  <c r="P115" i="3" s="1"/>
  <c r="W115" i="3" s="1"/>
  <c r="T59" i="3"/>
  <c r="N59" i="3" s="1"/>
  <c r="W59" i="3" s="1"/>
  <c r="T174" i="3"/>
  <c r="R174" i="3" s="1"/>
  <c r="W174" i="3"/>
  <c r="T95" i="3"/>
  <c r="T113" i="3"/>
  <c r="J113" i="3" s="1"/>
  <c r="W113" i="3" s="1"/>
  <c r="T107" i="3"/>
  <c r="P107" i="3" s="1"/>
  <c r="T101" i="3"/>
  <c r="T96" i="3"/>
  <c r="H96" i="3" s="1"/>
  <c r="W96" i="3" s="1"/>
  <c r="W18" i="3"/>
  <c r="P138" i="3"/>
  <c r="T119" i="3"/>
  <c r="L119" i="3" s="1"/>
  <c r="W119" i="3" s="1"/>
  <c r="C12" i="1"/>
  <c r="T63" i="3"/>
  <c r="O486" i="2"/>
  <c r="H19" i="3"/>
  <c r="P19" i="3"/>
  <c r="D19" i="3"/>
  <c r="L19" i="3"/>
  <c r="T18" i="3"/>
  <c r="F19" i="3"/>
  <c r="N19" i="3"/>
  <c r="J19" i="3"/>
  <c r="R19" i="3"/>
  <c r="T106" i="3"/>
  <c r="H106" i="3" s="1"/>
  <c r="W106" i="3" s="1"/>
  <c r="T90" i="3"/>
  <c r="H90" i="3" s="1"/>
  <c r="W90" i="3" s="1"/>
  <c r="J14" i="3"/>
  <c r="R14" i="3"/>
  <c r="D14" i="3"/>
  <c r="L14" i="3"/>
  <c r="T13" i="3"/>
  <c r="F14" i="3"/>
  <c r="N14" i="3"/>
  <c r="H14" i="3"/>
  <c r="P14" i="3"/>
  <c r="F44" i="3"/>
  <c r="W44" i="3" s="1"/>
  <c r="T172" i="3"/>
  <c r="R172" i="3" s="1"/>
  <c r="W172" i="3"/>
  <c r="F553" i="2"/>
  <c r="T30" i="3"/>
  <c r="T98" i="3"/>
  <c r="J98" i="3" s="1"/>
  <c r="W98" i="3" s="1"/>
  <c r="W166" i="3"/>
  <c r="T166" i="3"/>
  <c r="R166" i="3" s="1"/>
  <c r="T26" i="3"/>
  <c r="W15" i="3"/>
  <c r="O708" i="2" l="1"/>
  <c r="N708" i="2"/>
  <c r="N167" i="2"/>
  <c r="O167" i="2" s="1"/>
  <c r="L553" i="2"/>
  <c r="M553" i="2" s="1"/>
  <c r="N553" i="2" s="1"/>
  <c r="O553" i="2" s="1"/>
  <c r="K553" i="2"/>
  <c r="M154" i="2"/>
  <c r="N154" i="2" s="1"/>
  <c r="O154" i="2" s="1"/>
  <c r="M594" i="2"/>
  <c r="N594" i="2" s="1"/>
  <c r="O594" i="2" s="1"/>
  <c r="L557" i="2"/>
  <c r="M557" i="2" s="1"/>
  <c r="K557" i="2"/>
  <c r="M139" i="2"/>
  <c r="N139" i="2" s="1"/>
  <c r="O139" i="2" s="1"/>
  <c r="T31" i="3" s="1"/>
  <c r="T86" i="3"/>
  <c r="N86" i="3" s="1"/>
  <c r="W86" i="3" s="1"/>
  <c r="W107" i="3"/>
  <c r="T53" i="3"/>
  <c r="J53" i="3" s="1"/>
  <c r="W53" i="3" s="1"/>
  <c r="T122" i="3"/>
  <c r="P122" i="3" s="1"/>
  <c r="W122" i="3" s="1"/>
  <c r="W54" i="3"/>
  <c r="W58" i="3"/>
  <c r="T38" i="3"/>
  <c r="F38" i="3" s="1"/>
  <c r="W38" i="3" s="1"/>
  <c r="T114" i="3"/>
  <c r="P114" i="3" s="1"/>
  <c r="W114" i="3" s="1"/>
  <c r="W74" i="3"/>
  <c r="F559" i="2"/>
  <c r="T121" i="3"/>
  <c r="P121" i="3" s="1"/>
  <c r="W121" i="3" s="1"/>
  <c r="T37" i="3"/>
  <c r="D37" i="3" s="1"/>
  <c r="W37" i="3" s="1"/>
  <c r="T159" i="3"/>
  <c r="R159" i="3" s="1"/>
  <c r="W159" i="3"/>
  <c r="T39" i="3"/>
  <c r="H39" i="3" s="1"/>
  <c r="W39" i="3" s="1"/>
  <c r="T108" i="3"/>
  <c r="P108" i="3" s="1"/>
  <c r="W108" i="3" s="1"/>
  <c r="T70" i="3"/>
  <c r="O516" i="2"/>
  <c r="O251" i="2"/>
  <c r="T47" i="3"/>
  <c r="T97" i="3"/>
  <c r="J97" i="3" s="1"/>
  <c r="W97" i="3" s="1"/>
  <c r="O647" i="2"/>
  <c r="T105" i="3"/>
  <c r="H105" i="3" s="1"/>
  <c r="W105" i="3" s="1"/>
  <c r="W13" i="3"/>
  <c r="T134" i="3"/>
  <c r="R135" i="3"/>
  <c r="W135" i="3" s="1"/>
  <c r="T146" i="3"/>
  <c r="P146" i="3" s="1"/>
  <c r="W146" i="3" s="1"/>
  <c r="L101" i="3"/>
  <c r="W101" i="3" s="1"/>
  <c r="H95" i="3"/>
  <c r="W95" i="3" s="1"/>
  <c r="W126" i="3"/>
  <c r="T25" i="3"/>
  <c r="D25" i="3" s="1"/>
  <c r="T23" i="3"/>
  <c r="O28" i="2"/>
  <c r="T48" i="3"/>
  <c r="H48" i="3" s="1"/>
  <c r="W48" i="3" s="1"/>
  <c r="W62" i="3"/>
  <c r="C18" i="1"/>
  <c r="T170" i="3"/>
  <c r="R171" i="3"/>
  <c r="W72" i="3"/>
  <c r="C20" i="1"/>
  <c r="J128" i="3"/>
  <c r="W128" i="3" s="1"/>
  <c r="T126" i="3"/>
  <c r="W14" i="3"/>
  <c r="F30" i="3"/>
  <c r="W30" i="3" s="1"/>
  <c r="T152" i="3"/>
  <c r="R152" i="3" s="1"/>
  <c r="D26" i="3"/>
  <c r="F26" i="3"/>
  <c r="T32" i="3"/>
  <c r="F32" i="3" s="1"/>
  <c r="W32" i="3" s="1"/>
  <c r="W19" i="3"/>
  <c r="T62" i="3"/>
  <c r="H63" i="3"/>
  <c r="W63" i="3" s="1"/>
  <c r="O170" i="2"/>
  <c r="C16" i="1" s="1"/>
  <c r="W170" i="3"/>
  <c r="C29" i="1"/>
  <c r="L73" i="3"/>
  <c r="W73" i="3" s="1"/>
  <c r="T72" i="3"/>
  <c r="F89" i="3"/>
  <c r="W89" i="3" s="1"/>
  <c r="W134" i="3"/>
  <c r="K559" i="2" l="1"/>
  <c r="L559" i="2"/>
  <c r="M559" i="2" s="1"/>
  <c r="N559" i="2" s="1"/>
  <c r="O559" i="2" s="1"/>
  <c r="N557" i="2"/>
  <c r="O557" i="2"/>
  <c r="T102" i="3"/>
  <c r="L102" i="3" s="1"/>
  <c r="W102" i="3" s="1"/>
  <c r="O698" i="2"/>
  <c r="W100" i="3" s="1"/>
  <c r="O598" i="2"/>
  <c r="W88" i="3" s="1"/>
  <c r="T94" i="3"/>
  <c r="W25" i="3"/>
  <c r="D201" i="3"/>
  <c r="T100" i="3"/>
  <c r="W141" i="3"/>
  <c r="T141" i="3"/>
  <c r="P141" i="3" s="1"/>
  <c r="T84" i="3"/>
  <c r="O576" i="2"/>
  <c r="T161" i="3"/>
  <c r="R161" i="3" s="1"/>
  <c r="W161" i="3"/>
  <c r="W26" i="3"/>
  <c r="T92" i="3"/>
  <c r="W152" i="3"/>
  <c r="W158" i="3"/>
  <c r="T158" i="3"/>
  <c r="R158" i="3" s="1"/>
  <c r="W36" i="3"/>
  <c r="F31" i="3"/>
  <c r="T34" i="3"/>
  <c r="F34" i="3" s="1"/>
  <c r="W34" i="3" s="1"/>
  <c r="T40" i="3"/>
  <c r="H47" i="3"/>
  <c r="W47" i="3" s="1"/>
  <c r="T42" i="3"/>
  <c r="C14" i="1"/>
  <c r="T140" i="3"/>
  <c r="W140" i="3"/>
  <c r="O1276" i="2"/>
  <c r="W94" i="3"/>
  <c r="C24" i="1"/>
  <c r="W42" i="3"/>
  <c r="C17" i="1"/>
  <c r="T22" i="3"/>
  <c r="H23" i="3"/>
  <c r="T33" i="3"/>
  <c r="F33" i="3" s="1"/>
  <c r="W33" i="3" s="1"/>
  <c r="W69" i="3"/>
  <c r="C19" i="1"/>
  <c r="T69" i="3"/>
  <c r="L70" i="3"/>
  <c r="H201" i="3" l="1"/>
  <c r="C25" i="1"/>
  <c r="R201" i="3"/>
  <c r="C23" i="1"/>
  <c r="F201" i="3"/>
  <c r="W83" i="3"/>
  <c r="C22" i="1"/>
  <c r="N84" i="3"/>
  <c r="N201" i="3" s="1"/>
  <c r="T83" i="3"/>
  <c r="L92" i="3"/>
  <c r="W92" i="3" s="1"/>
  <c r="T88" i="3"/>
  <c r="P140" i="3"/>
  <c r="P201" i="3" s="1"/>
  <c r="T137" i="3"/>
  <c r="W70" i="3"/>
  <c r="J40" i="3"/>
  <c r="T36" i="3"/>
  <c r="T29" i="3"/>
  <c r="O121" i="2"/>
  <c r="W31" i="3"/>
  <c r="W23" i="3"/>
  <c r="W137" i="3"/>
  <c r="C28" i="1"/>
  <c r="W22" i="3"/>
  <c r="L201" i="3" l="1"/>
  <c r="W84" i="3"/>
  <c r="T78" i="3"/>
  <c r="C15" i="1"/>
  <c r="W40" i="3"/>
  <c r="J78" i="3" l="1"/>
  <c r="W29" i="3"/>
  <c r="T79" i="3" l="1"/>
  <c r="O547" i="2"/>
  <c r="W78" i="3"/>
  <c r="W77" i="3" l="1"/>
  <c r="C21" i="1"/>
  <c r="C33" i="1" s="1"/>
  <c r="J79" i="3"/>
  <c r="J201" i="3" s="1"/>
  <c r="T77" i="3"/>
  <c r="T201" i="3" s="1"/>
  <c r="D13" i="1" l="1"/>
  <c r="D32" i="1"/>
  <c r="D31" i="1"/>
  <c r="D30" i="1"/>
  <c r="D15" i="1"/>
  <c r="D14" i="1"/>
  <c r="D28" i="1"/>
  <c r="D21" i="1"/>
  <c r="D19" i="1"/>
  <c r="D22" i="1"/>
  <c r="D12" i="1"/>
  <c r="D26" i="1"/>
  <c r="D23" i="1"/>
  <c r="D25" i="1"/>
  <c r="D20" i="1"/>
  <c r="Q201" i="3"/>
  <c r="K201" i="3"/>
  <c r="G201" i="3"/>
  <c r="O201" i="3"/>
  <c r="M201" i="3"/>
  <c r="E201" i="3"/>
  <c r="I201" i="3"/>
  <c r="C201" i="3"/>
  <c r="D24" i="1"/>
  <c r="D17" i="1"/>
  <c r="D29" i="1"/>
  <c r="D27" i="1"/>
  <c r="W79" i="3"/>
  <c r="D18" i="1"/>
  <c r="D16" i="1"/>
  <c r="D33" i="1" l="1"/>
</calcChain>
</file>

<file path=xl/sharedStrings.xml><?xml version="1.0" encoding="utf-8"?>
<sst xmlns="http://schemas.openxmlformats.org/spreadsheetml/2006/main" count="7077" uniqueCount="1829">
  <si>
    <r>
      <rPr>
        <b/>
        <sz val="8"/>
        <rFont val="Arial"/>
        <family val="2"/>
      </rPr>
      <t>PAC 80x210</t>
    </r>
    <r>
      <rPr>
        <sz val="8"/>
        <rFont val="Arial"/>
        <family val="2"/>
      </rPr>
      <t xml:space="preserve"> - Porta de madeira Porta acústica  - capacidade de redução sonora de 30 dB(A), confeccionada em MDF com acabamento laminado, preenchida com isolantes acústicos de alta densidade, contendo fechadura Papaiz cromada com cilindro 75mm, dobradiças de 4" reforçadas com anilhas, barra retrátil telescópica em aluminio para vedação da soleira - conforme memorial descritivo. Acompanha caixilho em madeira maciça com acabamento laminado para paredes de alvenaria com espessura de 14 cm ou drywall sob medida, contendo vedações com borrachas compressíveis, além de guarnições em ambas as faces. 
</t>
    </r>
  </si>
  <si>
    <t>TRIBUNAL REGIONAL DO TRABALHO
FÓRUM TRABALHISTA DE CORNÉLIO PROCÓPIO</t>
  </si>
  <si>
    <t>CRONOGRAMA FÍSICO FINANCEIRO
FÓRUM TRABALHISTA DE CORNÉLIO PROCÓPIO</t>
  </si>
  <si>
    <t>PMa90X210</t>
  </si>
  <si>
    <t>VT270X210</t>
  </si>
  <si>
    <t>PAV 0,60X1,80</t>
  </si>
  <si>
    <t>PAV60X180</t>
  </si>
  <si>
    <t>JA130X105</t>
  </si>
  <si>
    <t>REMANEJADA</t>
  </si>
  <si>
    <t>SALA DE AUDIÊNCIA REMANEJADA</t>
  </si>
  <si>
    <t>assessoria/gabinete</t>
  </si>
  <si>
    <t>entrada IS</t>
  </si>
  <si>
    <t>Audiencias II/GAB II</t>
  </si>
  <si>
    <t>assessoria/ gabinete</t>
  </si>
  <si>
    <t>circ. IS</t>
  </si>
  <si>
    <t>Of justi/oab</t>
  </si>
  <si>
    <t>fechamentos</t>
  </si>
  <si>
    <t>Alvenaria ext</t>
  </si>
  <si>
    <t xml:space="preserve"> Audiencias II/GAB II</t>
  </si>
  <si>
    <t>JA225X270</t>
  </si>
  <si>
    <t xml:space="preserve"> HALL</t>
  </si>
  <si>
    <t>CIRC.</t>
  </si>
  <si>
    <t>JA90X60</t>
  </si>
  <si>
    <t>SITE</t>
  </si>
  <si>
    <t>demolição de piso e elemento em concreto (volumes existentes no piso do corredor lateral</t>
  </si>
  <si>
    <t xml:space="preserve">remoção da plataforma metálica </t>
  </si>
  <si>
    <t>demolição da casa de gás</t>
  </si>
  <si>
    <t>remoção de prumada de água pluvial</t>
  </si>
  <si>
    <t>remoção de tubulação de gás aparente</t>
  </si>
  <si>
    <t>remoção de caixa de gordura</t>
  </si>
  <si>
    <t>85387
adaptada</t>
  </si>
  <si>
    <t>Remoção de tubulação aparente - rede de gás</t>
  </si>
  <si>
    <t>COLETA DE ÁGUAS PLUVIAIS</t>
  </si>
  <si>
    <t>GRELHA</t>
  </si>
  <si>
    <t>CONEXÃO DOS TUBOS (VIZINHO) ATÉ A REDE DE COLETA</t>
  </si>
  <si>
    <t>TUBULAÇÃO COLETA 100mm</t>
  </si>
  <si>
    <t>Porta grelha para grelha hemisférica de ferro fundico 4"</t>
  </si>
  <si>
    <t>14.001.000018.
adaptada</t>
  </si>
  <si>
    <r>
      <rPr>
        <b/>
        <sz val="8"/>
        <rFont val="Arial"/>
        <family val="2"/>
      </rPr>
      <t>TUBO PVC ESGOTO PREDIAL DN 100MM</t>
    </r>
    <r>
      <rPr>
        <sz val="8"/>
        <rFont val="Arial"/>
        <family val="2"/>
      </rPr>
      <t>, inclusive conexões - fornecimento e instalação - PRUMADA QUE FOI RETIRADA POR CONFLITO COM ESQUADRIA</t>
    </r>
  </si>
  <si>
    <r>
      <rPr>
        <b/>
        <sz val="8"/>
        <rFont val="Arial"/>
        <family val="2"/>
      </rPr>
      <t>TUBO PVC ESGOTO PREDIAL DN 100MM</t>
    </r>
    <r>
      <rPr>
        <sz val="8"/>
        <rFont val="Arial"/>
        <family val="2"/>
      </rPr>
      <t>, inclusive conexões - fornecimento e instalação - COLETA DAS ÁGUAS PLUVIAIS DO CORREDOR AOS FUNDOS DO IMÓVEL - ATÉ CONEXÃO COM A REDE EXISTENTE NA LATERAL</t>
    </r>
  </si>
  <si>
    <r>
      <rPr>
        <b/>
        <sz val="8"/>
        <rFont val="Arial"/>
        <family val="2"/>
      </rPr>
      <t>TUBO PVC ESGOTO PREDIAL DN 100MM</t>
    </r>
    <r>
      <rPr>
        <sz val="8"/>
        <rFont val="Arial"/>
        <family val="2"/>
      </rPr>
      <t>, inclusive conexões - fornecimento e instalação - conexão entre a prumada de descida até o tubo de coleta - teto da garagem  - 2m por ligação</t>
    </r>
  </si>
  <si>
    <r>
      <rPr>
        <b/>
        <sz val="8"/>
        <rFont val="Arial"/>
        <family val="2"/>
      </rPr>
      <t>TUBO PVC ESGOTO PREDIAL</t>
    </r>
    <r>
      <rPr>
        <sz val="8"/>
        <rFont val="Arial"/>
        <family val="2"/>
      </rPr>
      <t xml:space="preserve"> DN 100mm, inclusive conexões - fornecimento e instalação - prumada nova e ligação até a rede de coleta existente +  tubo de coleta no 2º e 1º pavimento - banheiros dos gabinetes, banheiros da secretaria e copa da secretaria</t>
    </r>
  </si>
  <si>
    <r>
      <rPr>
        <b/>
        <sz val="8"/>
        <rFont val="Arial"/>
        <family val="2"/>
      </rPr>
      <t xml:space="preserve">TUBO PVC SOLDAVEL AGUA FRIA DN 32MM </t>
    </r>
    <r>
      <rPr>
        <sz val="8"/>
        <rFont val="Arial"/>
        <family val="2"/>
      </rPr>
      <t>- inclusive conexões - fornecimento e instalação - DISTRIBUIÇÃO PARA ATENDER AOS BANHEIROS E COPAS NOVOS</t>
    </r>
  </si>
  <si>
    <t xml:space="preserve">SINAPI </t>
  </si>
  <si>
    <t>ENCHIMENTO DO PISO NA LATERAL - SAÍDA DA PORTA DUPLA</t>
  </si>
  <si>
    <t xml:space="preserve">cobertura policarbonato saída da porta dos fundos </t>
  </si>
  <si>
    <t>cobertura policarbonato saída da porta lateral - portas duplas</t>
  </si>
  <si>
    <r>
      <rPr>
        <b/>
        <sz val="8"/>
        <rFont val="Arial"/>
        <family val="2"/>
      </rPr>
      <t>PINTURA ESMALTE ACETINADO EM FERRO</t>
    </r>
    <r>
      <rPr>
        <sz val="8"/>
        <rFont val="Arial"/>
        <family val="2"/>
      </rPr>
      <t>, duas demão, em todas as grades de janelas - inclusive preparo, lixamento e aplicação de fundo</t>
    </r>
  </si>
  <si>
    <t>demolição de irregularidades no piso - copa e banheiros</t>
  </si>
  <si>
    <r>
      <rPr>
        <b/>
        <sz val="8"/>
        <rFont val="Arial"/>
        <family val="2"/>
      </rPr>
      <t xml:space="preserve">Chapisco </t>
    </r>
    <r>
      <rPr>
        <sz val="8"/>
        <rFont val="Arial"/>
        <family val="2"/>
      </rPr>
      <t>traço 1:4 (cimento e areia), espessura 0,5cm - preparo manual  - REVESTIMENTO DA PAREDE DE ALVENARIA NOVA - PAB</t>
    </r>
  </si>
  <si>
    <r>
      <rPr>
        <b/>
        <sz val="8"/>
        <rFont val="Arial"/>
        <family val="2"/>
      </rPr>
      <t>Emboço</t>
    </r>
    <r>
      <rPr>
        <sz val="8"/>
        <rFont val="Arial"/>
        <family val="2"/>
      </rPr>
      <t xml:space="preserve"> paulista (massa única) traço 1:2:8 (cimento, cal e areia média), espessura 2,0 cm - REVESTIMENTO DA PAREDE DE ALVENARIA NOVA - PAB</t>
    </r>
  </si>
  <si>
    <r>
      <rPr>
        <b/>
        <sz val="8"/>
        <rFont val="Arial"/>
        <family val="2"/>
      </rPr>
      <t>Emboço</t>
    </r>
    <r>
      <rPr>
        <sz val="8"/>
        <rFont val="Arial"/>
        <family val="2"/>
      </rPr>
      <t xml:space="preserve"> paulista (massa única) traço 1:2:8 (cimento, cal e areia média), espessura 2,0 cm - REVESTIMENTO DAS PAREDES DA COPA - ONDE FOI REMOVIDO O REVESTIMENTO EM AZULEJOS</t>
    </r>
  </si>
  <si>
    <t>Revestimento de paredes anteriomente azulejadas</t>
  </si>
  <si>
    <t xml:space="preserve">1º pavimento </t>
  </si>
  <si>
    <r>
      <t>Grelha hemisférica de ferro fundido Ø 100 mm (4") -</t>
    </r>
    <r>
      <rPr>
        <sz val="8"/>
        <rFont val="Arial"/>
        <family val="2"/>
      </rPr>
      <t xml:space="preserve"> captação de águas pluviais corredor e fundos do imóvel + laje de cobertura sobre sala OAB</t>
    </r>
  </si>
  <si>
    <t>Rufo de chapa de aço galvanizado nº 26 desenvolvimento 25 cm - INSTALADO NAS PLATIBANDAS DA COBERTURA</t>
  </si>
  <si>
    <t>Rufo de chapa de aço galvanizado nº 26 desenvolvimento 25 cm - INSTALADO NA MURETA DA LAJE DE COBERTURA DA OAB</t>
  </si>
  <si>
    <t>72284
ADAPTADA</t>
  </si>
  <si>
    <t>UTILIZADA MÃO DE OBRA * 2  - 1/4 DO VALOR DO MATERIAL</t>
  </si>
  <si>
    <r>
      <t>Deslocamento de abrigo para hidrante</t>
    </r>
    <r>
      <rPr>
        <sz val="8"/>
        <rFont val="Arial"/>
        <family val="2"/>
      </rPr>
      <t>, 90X60X17CM, com reutilização parcial do material  - remoção e reinstalação conforme projeto de incêndio aprovado</t>
    </r>
  </si>
  <si>
    <t>VIGA AMARRAÇÃO (12X20) - 21,85M</t>
  </si>
  <si>
    <t>PILARES (12X12) - 10 UNIDADES</t>
  </si>
  <si>
    <r>
      <rPr>
        <b/>
        <sz val="8"/>
        <rFont val="Arial"/>
        <family val="2"/>
      </rPr>
      <t>Piso tátil em porcelanato , di</t>
    </r>
    <r>
      <rPr>
        <sz val="8"/>
        <rFont val="Arial"/>
        <family val="2"/>
      </rPr>
      <t>mensões 25X25cm - referência técnica: Andaluz - ou similar - assentado com argamassa colante e rejuntado com rejunte flexível antifungo.</t>
    </r>
  </si>
  <si>
    <t>74048/7</t>
  </si>
  <si>
    <r>
      <rPr>
        <b/>
        <sz val="8"/>
        <rFont val="Arial"/>
        <family val="2"/>
      </rPr>
      <t>Registro de gaveta  1.1/4"</t>
    </r>
    <r>
      <rPr>
        <sz val="8"/>
        <rFont val="Arial"/>
        <family val="2"/>
      </rPr>
      <t xml:space="preserve">  - com canopla cromada  - acabamento simples - fornecimento e instalação - DISTRIBUIÇÃO</t>
    </r>
  </si>
  <si>
    <r>
      <rPr>
        <b/>
        <sz val="8"/>
        <rFont val="Arial"/>
        <family val="2"/>
      </rPr>
      <t>Caixa sifonada PVC 100X100X50mm</t>
    </r>
    <r>
      <rPr>
        <sz val="8"/>
        <rFont val="Arial"/>
        <family val="2"/>
      </rPr>
      <t xml:space="preserve">  - com grelha redonda branca - fornecimento e instalação - uma por instalação sanitária ou copa.</t>
    </r>
  </si>
  <si>
    <t>INSTALAÇÕES DE DRENOS PARA AR CONDICIONADO</t>
  </si>
  <si>
    <t>73948/10</t>
  </si>
  <si>
    <r>
      <t xml:space="preserve">LIMPEZA PISO MARMORE/GRANITO - </t>
    </r>
    <r>
      <rPr>
        <sz val="8"/>
        <rFont val="Arial"/>
        <family val="2"/>
      </rPr>
      <t>limpeza e polimento dos granitos das escadas - escada do térreo até o primeiro pavimento - escada do primeiro pavimento até o segundo pavimento</t>
    </r>
  </si>
  <si>
    <r>
      <t xml:space="preserve">LIMPEZA CAIXA DÁGUA </t>
    </r>
    <r>
      <rPr>
        <sz val="8"/>
        <rFont val="Arial"/>
        <family val="2"/>
      </rPr>
      <t>- interior da caixa de concreto armado</t>
    </r>
  </si>
  <si>
    <t>73948/3</t>
  </si>
  <si>
    <r>
      <rPr>
        <b/>
        <sz val="8"/>
        <rFont val="Arial"/>
        <family val="2"/>
      </rPr>
      <t>LOCACAO MENSAL DE ANDAIME METALICO TIPO FACHADEIRO</t>
    </r>
    <r>
      <rPr>
        <sz val="8"/>
        <rFont val="Arial"/>
        <family val="2"/>
      </rPr>
      <t xml:space="preserve"> - inclusive montagem e desmontagem
</t>
    </r>
  </si>
  <si>
    <t>73938/1</t>
  </si>
  <si>
    <r>
      <rPr>
        <b/>
        <sz val="8"/>
        <rFont val="Arial"/>
        <family val="2"/>
      </rPr>
      <t xml:space="preserve">COBERTURA EM TELHA CERAMICA TIPO COLONIAL - </t>
    </r>
    <r>
      <rPr>
        <sz val="8"/>
        <rFont val="Arial"/>
        <family val="2"/>
      </rPr>
      <t xml:space="preserve">troca parcial de telhas quebradas e e necessárias para a substituição das calhas e rufos - estimado 20% da área do terreno
</t>
    </r>
  </si>
  <si>
    <t>SERVIÇOS COMPLEMENTARES E LIMPEZA DA OBRA</t>
  </si>
  <si>
    <t>PAINEL PAISAGISMO</t>
  </si>
  <si>
    <t>Jardineiro</t>
  </si>
  <si>
    <t>Calcário dolomítico</t>
  </si>
  <si>
    <t>Terra vegetal preta</t>
  </si>
  <si>
    <t>Adubo mineral NPK com formulação 10 - 10 - 10</t>
  </si>
  <si>
    <t>Adubo orgânico curtido - esterco</t>
  </si>
  <si>
    <t>Trepadeira unha de gato, FICUS PUMILA, altura 0,5 a 0,7 m</t>
  </si>
  <si>
    <t>Fosfato de rochas</t>
  </si>
  <si>
    <r>
      <t>JARDINEIRA EM CONCRETO -</t>
    </r>
    <r>
      <rPr>
        <sz val="8"/>
        <rFont val="Arial"/>
        <family val="2"/>
      </rPr>
      <t xml:space="preserve"> dimensões 100x33x33 </t>
    </r>
  </si>
  <si>
    <t>Casa das telas - Daniele - 41 3336 8203</t>
  </si>
  <si>
    <t>cotação  + 30.003.000004 TCPO</t>
  </si>
  <si>
    <t>Trepadeira Unha de Gato/Hera com altura 0,5 a 0,7 m, em cavas de 60 x 60 x 60 cm</t>
  </si>
  <si>
    <t>MÊS 05</t>
  </si>
  <si>
    <t>MÊS 06</t>
  </si>
  <si>
    <t>MÊS 07</t>
  </si>
  <si>
    <t>MÊS 08</t>
  </si>
  <si>
    <t>Rufo de chapa de aço galvanizado - INSTALADO NAS PLATIBANDAS DA COBERTURA</t>
  </si>
  <si>
    <t>Calha de chapa galvanizada</t>
  </si>
  <si>
    <t>Rufo de chapa de aço galvanizado -INSTALADO NA MURETA DA LAJE DE COBERTURA DA OAB</t>
  </si>
  <si>
    <t xml:space="preserve">COBERTURA EM TELHA CERAMICA TIPO COLONIAL - troca parcial </t>
  </si>
  <si>
    <t>Coberturas com telha de policarbonato alveolar</t>
  </si>
  <si>
    <t>Regularização base, manta asfáltica e camada de regularização</t>
  </si>
  <si>
    <t>Pontos de  água fria - inclusive instalação de registros</t>
  </si>
  <si>
    <t>Pontos de esgoto</t>
  </si>
  <si>
    <t xml:space="preserve">Louças </t>
  </si>
  <si>
    <t>Metais</t>
  </si>
  <si>
    <t xml:space="preserve">Caixas </t>
  </si>
  <si>
    <t>Exaustão</t>
  </si>
  <si>
    <t>Painel Paisagismo</t>
  </si>
  <si>
    <t>Limpeza/polimento dos revestimentos em granito das escadas</t>
  </si>
  <si>
    <t>ANDAIMES</t>
  </si>
  <si>
    <t>demolições terreo</t>
  </si>
  <si>
    <t>quantidade</t>
  </si>
  <si>
    <t>PAV 0,90X2,10</t>
  </si>
  <si>
    <t>74071/2</t>
  </si>
  <si>
    <r>
      <rPr>
        <b/>
        <sz val="8"/>
        <rFont val="Arial"/>
        <family val="2"/>
      </rPr>
      <t xml:space="preserve">PAV 90x210 </t>
    </r>
    <r>
      <rPr>
        <sz val="8"/>
        <rFont val="Arial"/>
        <family val="2"/>
      </rPr>
      <t>- porta de abrir de alumínio tipo veneziana, com guarnição - conforme memorial descritivo</t>
    </r>
  </si>
  <si>
    <r>
      <rPr>
        <b/>
        <sz val="8"/>
        <rFont val="Arial"/>
        <family val="2"/>
      </rPr>
      <t xml:space="preserve">J A 2,25X2,70 </t>
    </r>
    <r>
      <rPr>
        <sz val="8"/>
        <rFont val="Arial"/>
        <family val="2"/>
      </rPr>
      <t xml:space="preserve"> Janela em vidro temperado, de correr com estrutura de alumínio, espessura 10 mm</t>
    </r>
  </si>
  <si>
    <r>
      <rPr>
        <b/>
        <sz val="8"/>
        <rFont val="Arial"/>
        <family val="2"/>
      </rPr>
      <t xml:space="preserve">PAV 60x180 </t>
    </r>
    <r>
      <rPr>
        <sz val="8"/>
        <rFont val="Arial"/>
        <family val="2"/>
      </rPr>
      <t>- PORTA DE ALUMÍNIO ANODIZADO NATURAL TIPO VENEZIANA, 60X180, COMPLETA INCLUSIVE BATENTES E ALISAR, DOBRADICAS e FECHADURA (Ref: Papaiz ou similar) - CONFORME MEMORIAL DESCRITIVO</t>
    </r>
  </si>
  <si>
    <r>
      <rPr>
        <b/>
        <sz val="8"/>
        <rFont val="Arial"/>
        <family val="2"/>
      </rPr>
      <t>JA2,40X0,85</t>
    </r>
    <r>
      <rPr>
        <sz val="8"/>
        <rFont val="Arial"/>
        <family val="2"/>
      </rPr>
      <t xml:space="preserve"> Janela em vidro temperado, de correr com estrutura de alumínio, espessura 10 mm</t>
    </r>
  </si>
  <si>
    <t>CONTRAVERGA (concreto)</t>
  </si>
  <si>
    <t>CONTRAVERGA (forma)</t>
  </si>
  <si>
    <t>DEMOLIÇÃO DE ALVENARIA  - INSTALAÇÃO DE ESQUADRIA</t>
  </si>
  <si>
    <t>REQUADRO DE VÃO</t>
  </si>
  <si>
    <t>FECHAMENTO DE ALVERNARIA - ESQUADRIA REMOVIDA</t>
  </si>
  <si>
    <t>demolição de alvenarias</t>
  </si>
  <si>
    <r>
      <t xml:space="preserve">REQUADRO DE VÃO - </t>
    </r>
    <r>
      <rPr>
        <b/>
        <sz val="8"/>
        <rFont val="Arial"/>
        <family val="2"/>
      </rPr>
      <t>Emboço</t>
    </r>
    <r>
      <rPr>
        <sz val="8"/>
        <rFont val="Arial"/>
        <family val="2"/>
      </rPr>
      <t xml:space="preserve"> paulista (massa única) traço 1:2:8 (cimento, cal e areia média), espessura 2,0 cm</t>
    </r>
  </si>
  <si>
    <r>
      <rPr>
        <b/>
        <sz val="8"/>
        <rFont val="Arial"/>
        <family val="2"/>
      </rPr>
      <t xml:space="preserve">Corrimão em tubo aço galvanizado  - diametro 4,5cm - conforme detalhe - </t>
    </r>
    <r>
      <rPr>
        <sz val="8"/>
        <rFont val="Arial"/>
        <family val="2"/>
      </rPr>
      <t xml:space="preserve">fixado em alvenarias com brachadeira - com fundo para galvanizado e acabamento em duas demãos de esmalte sintético </t>
    </r>
  </si>
  <si>
    <r>
      <rPr>
        <b/>
        <sz val="8"/>
        <rFont val="Arial"/>
        <family val="2"/>
      </rPr>
      <t xml:space="preserve">Corrimão em tubo aço galvanizado  - diâmetro externo 4,5cm - conforme detalhe  </t>
    </r>
    <r>
      <rPr>
        <sz val="8"/>
        <rFont val="Arial"/>
        <family val="2"/>
      </rPr>
      <t xml:space="preserve"> - fixado em alvenarias com brachadeira - com fundo para galvanizado e acabamento em duas demãos de esmalte sintético - instalado nas esquadrias existentes a frente do imóvel que possuem peitoril baixo (03 janelas com largura de 2,40m) - calculado largura da janela  + 40cm</t>
    </r>
  </si>
  <si>
    <t>Aplicação manual de pintura com tinta texturizada acrílica em panos  com presença de vãos de edifícios de múltiplos pavimentos.</t>
  </si>
  <si>
    <t>alvenarias</t>
  </si>
  <si>
    <t>fechamento sala técnica</t>
  </si>
  <si>
    <t>fechamento escada</t>
  </si>
  <si>
    <t>CONTRAVERGA VERGA (forma)</t>
  </si>
  <si>
    <t>VERGAS E CONTRAVERGAS PAVIMENTO SUB SOLO</t>
  </si>
  <si>
    <r>
      <rPr>
        <b/>
        <sz val="8"/>
        <rFont val="Arial"/>
        <family val="2"/>
      </rPr>
      <t>FORRO DE GESSO ACARTONADO REMOVÍVEL,</t>
    </r>
    <r>
      <rPr>
        <sz val="8"/>
        <rFont val="Arial"/>
        <family val="2"/>
      </rPr>
      <t xml:space="preserve"> com película vinílica branca, apoiados em perfis metálicos tipo "T" suspensos por pendurais rígidos (comprimento: 0,65 m / espessura: 9,0 mm / largura: 0,65 m) - instalado, inclusive acabamentos de borda e acessórios.</t>
    </r>
  </si>
  <si>
    <t>GERAL</t>
  </si>
  <si>
    <t>05.009.000037.</t>
  </si>
  <si>
    <t>05.009.000033.</t>
  </si>
  <si>
    <r>
      <t xml:space="preserve">PAINEL EM TELA SOLDADAREVESTIDA EM PVC  - altura 2m - </t>
    </r>
    <r>
      <rPr>
        <sz val="8"/>
        <rFont val="Arial"/>
        <family val="2"/>
      </rPr>
      <t xml:space="preserve"> estuturado por tubos de aço galvanizado , comprimento 2,50m - quadrado 2"x2" a cada 2m ,  fechamento com tela soldada revestida em PVC verde , conforme detalhe no projeto - instalado</t>
    </r>
  </si>
  <si>
    <r>
      <rPr>
        <b/>
        <sz val="8"/>
        <rFont val="Arial"/>
        <family val="2"/>
      </rPr>
      <t>JA90X75X30V</t>
    </r>
    <r>
      <rPr>
        <sz val="8"/>
        <rFont val="Arial"/>
        <family val="2"/>
      </rPr>
      <t xml:space="preserve"> Janela em vidro temperado, maximo ar com estrutura de alumínio, espessura 10 mm</t>
    </r>
  </si>
  <si>
    <t>cj</t>
  </si>
  <si>
    <t>TRIBUNAL REGIONAL DO TRABALHO 9 REGIÃO</t>
  </si>
  <si>
    <t>chapisco</t>
  </si>
  <si>
    <t>VERGAS (concreto)</t>
  </si>
  <si>
    <t>VERGA (forma)</t>
  </si>
  <si>
    <t>SINAPI + COTAÇÃO</t>
  </si>
  <si>
    <t>Rodapé Santa Luzia Moderna 478 15mm x 5cm x 2,40m (Barra) Branco</t>
  </si>
  <si>
    <t>15410.8.3.3</t>
  </si>
  <si>
    <t>Anel de vedação vaso sanitário</t>
  </si>
  <si>
    <t>Tubo de latão com canopla acabamento cromado para ligação de bacia sanitária Ø 1 1/2" x 25 cm</t>
  </si>
  <si>
    <t>Bolsa de borracha de ligação para vaso santário Ø 1 1/2"</t>
  </si>
  <si>
    <t>Bacia de louça PNE - linha conforto V. Plus ou similar</t>
  </si>
  <si>
    <t>Assento  poliéster para bacia PNE</t>
  </si>
  <si>
    <t>Bacia de louça para caixa acoplada - linha Ravena DECA ou similar</t>
  </si>
  <si>
    <t>Coluna de louça para lavatório - linha Deca Ravena ou similar</t>
  </si>
  <si>
    <t>TANQUE DE LOUÇA PARA COLUNA (VOLUME: 30,0 L)</t>
  </si>
  <si>
    <t>Torneira de pressão para pia longa de parede - linha prata 50 parede</t>
  </si>
  <si>
    <t>Torneira de pressão para uso geral</t>
  </si>
  <si>
    <t>MÊS 01</t>
  </si>
  <si>
    <t>Valor
(R$)</t>
  </si>
  <si>
    <t>MÊS 02</t>
  </si>
  <si>
    <t>MÊS 03</t>
  </si>
  <si>
    <t>MÊS 04</t>
  </si>
  <si>
    <t>VALOR TOTAL
(R$)</t>
  </si>
  <si>
    <t>% 
TOTAL</t>
  </si>
  <si>
    <t>1.2</t>
  </si>
  <si>
    <t>1.3</t>
  </si>
  <si>
    <t>EXTINTORES</t>
  </si>
  <si>
    <t>INSTALAÇÕES ELÉTRICAS</t>
  </si>
  <si>
    <t>CABEAMENTO ELÉTRICO</t>
  </si>
  <si>
    <t>QUADROS ELÉTRICOS</t>
  </si>
  <si>
    <t>PINTURAS EM MUROS</t>
  </si>
  <si>
    <t>07620.8.2.4</t>
  </si>
  <si>
    <t>07712.8.1.5</t>
  </si>
  <si>
    <t>Calha de chapa galvanizada nº 24 desenvolvimento 50 cm</t>
  </si>
  <si>
    <t>5.11</t>
  </si>
  <si>
    <t>5.12</t>
  </si>
  <si>
    <t>6.4</t>
  </si>
  <si>
    <t>6.5</t>
  </si>
  <si>
    <t>17.1</t>
  </si>
  <si>
    <t>PINTURA EM MUROS</t>
  </si>
  <si>
    <t>74138/3</t>
  </si>
  <si>
    <t>INSTALAÇÃO DO CANTEIRO DE OBRAS</t>
  </si>
  <si>
    <t>72119+20241</t>
  </si>
  <si>
    <t>15110.8.3.1</t>
  </si>
  <si>
    <t>Tubo de aço galvanizado com costura água/gás/fluídos não corrosivos ao aço e zinco (diâmetro da seção: 1 1/2")</t>
  </si>
  <si>
    <t>Composição própria</t>
  </si>
  <si>
    <t>PISOS INTERNOS/EXTERNOS</t>
  </si>
  <si>
    <t>M²</t>
  </si>
  <si>
    <t>6.1</t>
  </si>
  <si>
    <t>Parede de gesso acartonado dupla interna, espessura final 125 mm, pé-direito máximo 3,75 m</t>
  </si>
  <si>
    <t>6.3</t>
  </si>
  <si>
    <t>7.1</t>
  </si>
  <si>
    <t>7.2</t>
  </si>
  <si>
    <t>ESQUADRIAS DE VIDRO TEMPERADO 10MM</t>
  </si>
  <si>
    <t>73838/1</t>
  </si>
  <si>
    <t>9.1</t>
  </si>
  <si>
    <t>Ajudante de telhadista</t>
  </si>
  <si>
    <t>Telhadista</t>
  </si>
  <si>
    <t>Rebite de ferro zincado Nº 8 (comprimento: 6,10 mm / diâmetro nominal: 3,00 mm)</t>
  </si>
  <si>
    <t>Estanho 30x70 para solda</t>
  </si>
  <si>
    <t>8.1</t>
  </si>
  <si>
    <t>10.1</t>
  </si>
  <si>
    <t>73925/2</t>
  </si>
  <si>
    <t>11.2</t>
  </si>
  <si>
    <t>11.3</t>
  </si>
  <si>
    <t>73829/001</t>
  </si>
  <si>
    <t>13.5</t>
  </si>
  <si>
    <t>cotação</t>
  </si>
  <si>
    <t>09285.8.1.4</t>
  </si>
  <si>
    <t>Argamassa mista de cimento, cal hidratada e areia sem peneirar traço 1:1:4</t>
  </si>
  <si>
    <t>Peitoril de granito tipo reto Cinza Andorinha (largura: 250,00 mm / espessura: 20,00 mm)</t>
  </si>
  <si>
    <t>Servente</t>
  </si>
  <si>
    <t>Ajudante de carpinteiro</t>
  </si>
  <si>
    <t>Carpinteiro</t>
  </si>
  <si>
    <t>09635.8.13.2</t>
  </si>
  <si>
    <t>75030/2</t>
  </si>
  <si>
    <t>16.1</t>
  </si>
  <si>
    <t>REGISTROS - GAVETA COM ACABAMENTO CROMADO</t>
  </si>
  <si>
    <t>74174/1</t>
  </si>
  <si>
    <t>74176/1</t>
  </si>
  <si>
    <t>REGISTROS - PRESSÃO COM ACABAMENTO CROMADO</t>
  </si>
  <si>
    <t>Fita de vedação para tubos e conexões roscáveis (comprimento: 50 m / largura: 18 mm)</t>
  </si>
  <si>
    <t>Massa para vidro comum</t>
  </si>
  <si>
    <t>REDE DE ESGOTO SANITÁRIO</t>
  </si>
  <si>
    <t>74165/4</t>
  </si>
  <si>
    <t>CAIXAS</t>
  </si>
  <si>
    <t>REDE DE ÁGUA FRIA</t>
  </si>
  <si>
    <t>REDE DE DRENAGEM  - CAPTAÇÃO DE ÁGUAS PLUVIAIS</t>
  </si>
  <si>
    <t xml:space="preserve">LOUÇAS </t>
  </si>
  <si>
    <t>TCPO PINI</t>
  </si>
  <si>
    <t>15410.8.3.2</t>
  </si>
  <si>
    <t>ud</t>
  </si>
  <si>
    <t>Ajudante de encanador</t>
  </si>
  <si>
    <t>h</t>
  </si>
  <si>
    <t>Encanador</t>
  </si>
  <si>
    <t>Joelho 90° PBV de PVC branco para esgoto série normal (diâmetro da seção: 75,00 m m)</t>
  </si>
  <si>
    <t>Parafuso cromado (comprimento: 2 1/2 " / diâmetro nominal: 1/4 ")</t>
  </si>
  <si>
    <t xml:space="preserve">Assento  laqueado para bacia </t>
  </si>
  <si>
    <t>Engate flexível de pvc para entrada de água (comprimento: 300 mm / diâmetro da seção: 1/2 ")</t>
  </si>
  <si>
    <t>Bucha de nylon com parafuso auto atarraxante cabeça panela, fenda simples (comprimento: 50 mm / diâmetro nominal da bucha: 8 mm / diâmetro nominal do parafuso: 5,5 mm)</t>
  </si>
  <si>
    <t>Caixa acoplada de louça para bacia - padrão popular</t>
  </si>
  <si>
    <t>kg</t>
  </si>
  <si>
    <t>15410.8.14.2</t>
  </si>
  <si>
    <t>Engate flexível metálico para entrada de água (comprimento: 300,00 mm / diâmetro da seção: 1/2 ")</t>
  </si>
  <si>
    <t>Sifão metálico para lavatório (diâmetro de entrada: 1 " / diâmetro de saída: 1 1/2 " / tipo de acabamento: CROMADO )</t>
  </si>
  <si>
    <t>Lavatório de louça para coluna - padrao popular</t>
  </si>
  <si>
    <t>Válvula de escoamento metálica para lavatório / bidê (diâmetro de entrada: 1 " / tipo de acabamento: cromado)</t>
  </si>
  <si>
    <t>Pedreiro</t>
  </si>
  <si>
    <t>15410.8.14.3</t>
  </si>
  <si>
    <t>Lavatório de louça suspenso e coluna</t>
  </si>
  <si>
    <t>METAIS</t>
  </si>
  <si>
    <t>composição própria</t>
  </si>
  <si>
    <t>m</t>
  </si>
  <si>
    <t xml:space="preserve">Servente </t>
  </si>
  <si>
    <t>servente</t>
  </si>
  <si>
    <t>pç</t>
  </si>
  <si>
    <t>74125/002</t>
  </si>
  <si>
    <t>m²</t>
  </si>
  <si>
    <t>15410.8.27.2</t>
  </si>
  <si>
    <t>15410.8.27.1</t>
  </si>
  <si>
    <t>Barra de apoio para lavatório de portadores de necessidades especiais, em inox escovado 54 cm x 40 cm</t>
  </si>
  <si>
    <t>Barra de apoio para portadores de necessidades especiais, reta, em inóx escovado (comprimento: 800 mm / diâmetro: 1 1/4 ")</t>
  </si>
  <si>
    <t>UNID.</t>
  </si>
  <si>
    <t>QUANT./COEF.</t>
  </si>
  <si>
    <t>BDI (R$)</t>
  </si>
  <si>
    <t>DATA:</t>
  </si>
  <si>
    <t>OBRA:</t>
  </si>
  <si>
    <t>ENDEREÇO:</t>
  </si>
  <si>
    <t>BDI:</t>
  </si>
  <si>
    <t>LOCAL:</t>
  </si>
  <si>
    <t>ÁREA(m²):</t>
  </si>
  <si>
    <t>TABELA</t>
  </si>
  <si>
    <t>ÍTEM</t>
  </si>
  <si>
    <t>PREÇO UNITÁRIO</t>
  </si>
  <si>
    <t>MATERIAL
(R$)</t>
  </si>
  <si>
    <t>MÃO DE OBRA
(R$)</t>
  </si>
  <si>
    <t>TOTAL
(R$)</t>
  </si>
  <si>
    <t>TOTAL COM BDI
(R$)</t>
  </si>
  <si>
    <t>QUANTIDADE</t>
  </si>
  <si>
    <t>1.1</t>
  </si>
  <si>
    <t>2.1</t>
  </si>
  <si>
    <t>SINAPI</t>
  </si>
  <si>
    <t>TCPO</t>
  </si>
  <si>
    <t>Prego com cabeça 15 x 15 (comprimento: 34,5 mm / diâmetro: 2,40 mm)</t>
  </si>
  <si>
    <t>COTAÇÃO</t>
  </si>
  <si>
    <t>UD</t>
  </si>
  <si>
    <t>73935/2</t>
  </si>
  <si>
    <t>CONJUNTO DE FIXAÇÃO PARA TANQUE</t>
  </si>
  <si>
    <t>SIFÃO METÁLICO PARA TANQUE (DIÂMETRO DE ENTRADA: 1 1/4 " / DIÂMETRO DE SAÍDA: 1 1/2 " / TIPO DE ACABAMENTO: CROMADO)</t>
  </si>
  <si>
    <t>VÁLVULA DE ESCOAMENTO METÁLICA PARA TANQUE / MICTÓRIO (DIÂMETRO DE ENTRADA: 1 1/4 ")</t>
  </si>
  <si>
    <t>TUBO DE LIGAÇÃO DE LATÃO COM CANOPLA PARA CHUVEIRO PARA ÁGUA FRIA E QUENTE (COMPRIMENTO: 230,00 MM / DIÂMETRO DA SEÇÃO: 1/2 " / TIPO DE ACABAMENTO: CROMADO)</t>
  </si>
  <si>
    <t>CHUVEIRO ELÉTRICO (POTÊNCIA: 5400 W / TENSÃO: 220 V)</t>
  </si>
  <si>
    <t/>
  </si>
  <si>
    <t>ELETRICISTA</t>
  </si>
  <si>
    <t>PINTURAS</t>
  </si>
  <si>
    <t>PINTURA EM PAREDES EXTERNAS</t>
  </si>
  <si>
    <t>PINTURA EM PISO</t>
  </si>
  <si>
    <t>15410.8.23.1</t>
  </si>
  <si>
    <t>15480.8.6.1</t>
  </si>
  <si>
    <t>ESQUADRIAS METÁLICAS</t>
  </si>
  <si>
    <t>COBERTURA</t>
  </si>
  <si>
    <t>IMPERMEABILIZAÇÃO</t>
  </si>
  <si>
    <t>INSTALAÇÕES HIDROSSANITÁRIAS</t>
  </si>
  <si>
    <t>ENCANADOR</t>
  </si>
  <si>
    <t>AJUDANTE DE ENCANADOR</t>
  </si>
  <si>
    <t>INSTALAÇÕES DE PREVENÇÃO CONTRA INCÊNDIOS</t>
  </si>
  <si>
    <t>CÓDIGO</t>
  </si>
  <si>
    <t>DESCRIÇÃO</t>
  </si>
  <si>
    <t>ADMINISTRAÇÃO DE OBRA E SERVIÇOS INICIAIS</t>
  </si>
  <si>
    <t>MES</t>
  </si>
  <si>
    <t>MESTRE DE OBRAS</t>
  </si>
  <si>
    <t>H</t>
  </si>
  <si>
    <t>74209/001</t>
  </si>
  <si>
    <t>PLACA DE OBRA EM CHAPA DE ACO GALVANIZADO</t>
  </si>
  <si>
    <t>M2</t>
  </si>
  <si>
    <t>M3</t>
  </si>
  <si>
    <t>-</t>
  </si>
  <si>
    <t>KG</t>
  </si>
  <si>
    <t>M</t>
  </si>
  <si>
    <t>UN</t>
  </si>
  <si>
    <t>74254/002</t>
  </si>
  <si>
    <t>SUPRA-ESTRUTURA</t>
  </si>
  <si>
    <t>PAREDES E PAINÉIS</t>
  </si>
  <si>
    <t>ALVENARIA DE VEDAÇÃO</t>
  </si>
  <si>
    <t>DIVISÓRIAS LEVES</t>
  </si>
  <si>
    <t>ESQUADRIAS</t>
  </si>
  <si>
    <t>ESQUADRIAS DE MADEIRA</t>
  </si>
  <si>
    <t>FORRO</t>
  </si>
  <si>
    <t>REVESTIMENTOS INTERNOS</t>
  </si>
  <si>
    <t>REVESTIMENTOS EXTERNOS</t>
  </si>
  <si>
    <t>FITA DE VEDAÇÃO PARA TUBOS E CONEXÕES ROSCÁVEIS (COMPRIMENTO: 50 M / LARGURA: 18 MM)</t>
  </si>
  <si>
    <t>'</t>
  </si>
  <si>
    <t>CONSTRUÇÃO DA VARA DO TRABALHO DE PALMAS</t>
  </si>
  <si>
    <t>RESUMO</t>
  </si>
  <si>
    <t xml:space="preserve">DESCRIÇÃO </t>
  </si>
  <si>
    <t>VALOR
(R$)</t>
  </si>
  <si>
    <t>TOTAL</t>
  </si>
  <si>
    <t>Coluna de louça para tanque</t>
  </si>
  <si>
    <t>%</t>
  </si>
  <si>
    <t>Montador</t>
  </si>
  <si>
    <t>PREÇO TOTAL</t>
  </si>
  <si>
    <t>73739/1</t>
  </si>
  <si>
    <t xml:space="preserve">m </t>
  </si>
  <si>
    <t xml:space="preserve"> Servente </t>
  </si>
  <si>
    <t>Parede de gesso acartonado simples (altura: 3,15 m / espessura: 100,00 mm)</t>
  </si>
  <si>
    <t>Tubo em aço escovado 5cm diâmetro</t>
  </si>
  <si>
    <t>AMBIENTE</t>
  </si>
  <si>
    <t>OAB</t>
  </si>
  <si>
    <t>PERIMETRO
(M)</t>
  </si>
  <si>
    <t>ÁREA
(M²)</t>
  </si>
  <si>
    <t>forro</t>
  </si>
  <si>
    <t>rodapé</t>
  </si>
  <si>
    <t>azulejo</t>
  </si>
  <si>
    <t>MEMÓRIA DE CÁLCULO - AMBIENTES INTERNOS</t>
  </si>
  <si>
    <t>LARGURA</t>
  </si>
  <si>
    <t>ALTURA</t>
  </si>
  <si>
    <t>PINTURA 
ESMALTE</t>
  </si>
  <si>
    <t>METRAGEM</t>
  </si>
  <si>
    <t>73910/5 + 74068/6</t>
  </si>
  <si>
    <t xml:space="preserve">73910/5 + 74068/6 + 02 BARRAS 40CM + RESINADO </t>
  </si>
  <si>
    <t>Rufo de chapa de aço galvanizada # 26 e 25 cm de largura</t>
  </si>
  <si>
    <t>Prego com cabeça 15 x 15, 34,5 mm x Ø 2,4 mm</t>
  </si>
  <si>
    <t>14.1</t>
  </si>
  <si>
    <t>14.2</t>
  </si>
  <si>
    <t>14.4</t>
  </si>
  <si>
    <t>garagem</t>
  </si>
  <si>
    <t>arquivo I</t>
  </si>
  <si>
    <t>arquivo II</t>
  </si>
  <si>
    <t>banco I</t>
  </si>
  <si>
    <t>banco II</t>
  </si>
  <si>
    <t>distribuição</t>
  </si>
  <si>
    <t>is distribuição</t>
  </si>
  <si>
    <t>copa distribuição</t>
  </si>
  <si>
    <t>sala multiplouso</t>
  </si>
  <si>
    <t>direção do fórum</t>
  </si>
  <si>
    <t>circulação</t>
  </si>
  <si>
    <t xml:space="preserve">IS PNE </t>
  </si>
  <si>
    <t>perícia</t>
  </si>
  <si>
    <t>IS perícia</t>
  </si>
  <si>
    <t>copa terceirizados</t>
  </si>
  <si>
    <t>vestiário fem terceirizados</t>
  </si>
  <si>
    <t>vestiário masc terceirizados</t>
  </si>
  <si>
    <t>IS Fem terceirizados</t>
  </si>
  <si>
    <t>IS Masc terceirizados</t>
  </si>
  <si>
    <t>sala oficiais de justiça</t>
  </si>
  <si>
    <t>hall e circulação pública</t>
  </si>
  <si>
    <t>corredor</t>
  </si>
  <si>
    <t>escada (ss-terreo)</t>
  </si>
  <si>
    <t>escada (terreo-1º andar)</t>
  </si>
  <si>
    <t>1º pavimento</t>
  </si>
  <si>
    <t>Gabinete I</t>
  </si>
  <si>
    <t>IS gabinete I</t>
  </si>
  <si>
    <t>Assessoria</t>
  </si>
  <si>
    <t>Sala de audiências I</t>
  </si>
  <si>
    <t>conciliação</t>
  </si>
  <si>
    <t>secretaria</t>
  </si>
  <si>
    <t>IS secretaria fem</t>
  </si>
  <si>
    <t>IS secretaria masc</t>
  </si>
  <si>
    <t>copa</t>
  </si>
  <si>
    <t>site</t>
  </si>
  <si>
    <t>assessoria</t>
  </si>
  <si>
    <t>gabinete II</t>
  </si>
  <si>
    <t>IS gabinete II</t>
  </si>
  <si>
    <t>sala de audiências II</t>
  </si>
  <si>
    <t xml:space="preserve">espera </t>
  </si>
  <si>
    <t>sanitário publico fem</t>
  </si>
  <si>
    <t>sanitário publico masc</t>
  </si>
  <si>
    <t>escada</t>
  </si>
  <si>
    <t>sanitário PNE</t>
  </si>
  <si>
    <t>piso ceramico</t>
  </si>
  <si>
    <t>limpeza piso</t>
  </si>
  <si>
    <t>pintura teto</t>
  </si>
  <si>
    <t>SUBSOLO</t>
  </si>
  <si>
    <t>PAV TERREO</t>
  </si>
  <si>
    <t>2º pavimento</t>
  </si>
  <si>
    <t>Pto esgoto primário</t>
  </si>
  <si>
    <t>Pto esgoto secundário</t>
  </si>
  <si>
    <t>bacia cx acoplada</t>
  </si>
  <si>
    <t>bacia PNE</t>
  </si>
  <si>
    <t>lavatório coluna</t>
  </si>
  <si>
    <t>lavatório PNE</t>
  </si>
  <si>
    <t>tanque</t>
  </si>
  <si>
    <t>torneira copa</t>
  </si>
  <si>
    <t>torneira lavatório</t>
  </si>
  <si>
    <t>torneira tanque</t>
  </si>
  <si>
    <t>ralo</t>
  </si>
  <si>
    <t>barra apoio bacia PNE</t>
  </si>
  <si>
    <t>espelho</t>
  </si>
  <si>
    <t>gancho</t>
  </si>
  <si>
    <t>papeleira</t>
  </si>
  <si>
    <t>sabonete liquido</t>
  </si>
  <si>
    <t>papel toalha</t>
  </si>
  <si>
    <t>barra lavatório PNE</t>
  </si>
  <si>
    <t>Pto água fria 1/2"</t>
  </si>
  <si>
    <t>Pto água fria 3/4"]</t>
  </si>
  <si>
    <t>PAVIMENTO SUB SOLO</t>
  </si>
  <si>
    <t>SOLEIRA
15CM</t>
  </si>
  <si>
    <t>SOLEIRA
20CM</t>
  </si>
  <si>
    <t>PEITORIL
20CM</t>
  </si>
  <si>
    <t>PAVIMENTO TERREO</t>
  </si>
  <si>
    <t>PRIMEIRO PAVIMENTO</t>
  </si>
  <si>
    <t>SEGUNDO PAVIMENTO</t>
  </si>
  <si>
    <t>IS PNE</t>
  </si>
  <si>
    <t>Arquivo I</t>
  </si>
  <si>
    <t>Gesso Acartonado Comum</t>
  </si>
  <si>
    <t>Distribuição</t>
  </si>
  <si>
    <t>Perícias</t>
  </si>
  <si>
    <t>Gesso Acartonado verde</t>
  </si>
  <si>
    <t>PAB/frente</t>
  </si>
  <si>
    <t>atend/circ/site/assessoria</t>
  </si>
  <si>
    <t>Gesso Acartonado duplo</t>
  </si>
  <si>
    <t>IS juiz I</t>
  </si>
  <si>
    <t>Copa IS secretaria</t>
  </si>
  <si>
    <t>IS juiz II</t>
  </si>
  <si>
    <t>Audiências I/conciliação</t>
  </si>
  <si>
    <t>emboço/reboco</t>
  </si>
  <si>
    <t>FÓRUM TRABALHISTA DE CORNÉLIO PROCÓPIO</t>
  </si>
  <si>
    <t>Avenida XV de Novembro, 830</t>
  </si>
  <si>
    <t>Cornélio Procópio/PR</t>
  </si>
  <si>
    <t xml:space="preserve">ESQUADRIAS DE VIDRO TEMPERADO </t>
  </si>
  <si>
    <t>PAVIMENTO SUBSOLO</t>
  </si>
  <si>
    <t>registro pressão 3/4"</t>
  </si>
  <si>
    <t>registro gaveta 3/4"</t>
  </si>
  <si>
    <t>registro gaveta 1 1/2"</t>
  </si>
  <si>
    <t>REDE DE ÁGUA FRIA/ESGOTO</t>
  </si>
  <si>
    <t>15142.8.27.1</t>
  </si>
  <si>
    <t>Tubo soldável de PVC marrom para água fria (diâmetro da seção: 25 mm)</t>
  </si>
  <si>
    <t>Tê 90º soldável de PVC marrom com rosca na bolsa central para água fria (diâmetro da parte roscável: 3/4 " / diâmetro da parte soldável: 25 mm)</t>
  </si>
  <si>
    <t>Joelho 90° soldável de PVC marrom e com rosca para água fria (diâmetro da part e roscável: 3/4 " / diâmetro da parte soldável: 25 mm)</t>
  </si>
  <si>
    <t>Joelho 90° soldável de PVC azul e com bucha de latão com reducao para água fria (diâm etro da parte roscável: 3/4 " / diâmetro da parte soldável: 32,00 mm)</t>
  </si>
  <si>
    <t>10.2</t>
  </si>
  <si>
    <t>Tubo soldável de PVC marrom para água fria (diâmetro da seção: 32 mm)</t>
  </si>
  <si>
    <t>Joelho 90° soldável de PVC marrom para água fria (diâmetro da seção: 32 mm)</t>
  </si>
  <si>
    <t>Joelho 90° soldável de PVC marrom e com rosca com reducao para água fria (diâm etro da parte roscável: 3/4 " /diâmetro da parte soldável: 32 mm)</t>
  </si>
  <si>
    <t>Tê 90º soldável de PVC marrom com rosca na bolsa central para água fria (diâmetro da parte roscável: 3/4 " / diâmetro da parte soldável: 32 mm)</t>
  </si>
  <si>
    <t>15152.8.29.1</t>
  </si>
  <si>
    <t>10.3</t>
  </si>
  <si>
    <t>Tê 90º PBV de PVC branco para esgoto série normal (diâmetro da seção: 100 mm)</t>
  </si>
  <si>
    <t>Tubo PBV de PVC branco para esgoto série normal (diâmetro da seção: 100 mm)</t>
  </si>
  <si>
    <t>Junção 45º PBV de PVC branco com redução para esgoto serie normal (diâmetro de entrada: 100,00 mm / diâmetro de saída: 75,00 mm)</t>
  </si>
  <si>
    <t>Joelho 90° PBV de PVC branco para esgoto série normal (diâmetro da seção: 100 mm )</t>
  </si>
  <si>
    <t>15152.8.29.2</t>
  </si>
  <si>
    <t>10.4</t>
  </si>
  <si>
    <t>Tubo PBV de PVC branco para esgoto série normal (diâmetro da seção: 50 mm)</t>
  </si>
  <si>
    <t>Tê 90º PBV de PVC branco para esgoto série normal (diâmetro da seção: 50 mm)</t>
  </si>
  <si>
    <t>Junção 45º PBV de PVC branco com redução para esgoto serie normal (diâmetro de entrada: 100,00 mm / diâmetro de saída: 50,00 mm)</t>
  </si>
  <si>
    <t>Joelho 90° PBV de PVC branco para esgoto série normal (diâmetro da seção: 50,00 m m)</t>
  </si>
  <si>
    <t>DRENOS</t>
  </si>
  <si>
    <t>FACHADA A - FRENTE</t>
  </si>
  <si>
    <t>ÁREA</t>
  </si>
  <si>
    <t>PINTURA DE FACHADA</t>
  </si>
  <si>
    <t>FACHADA B - lateral direita</t>
  </si>
  <si>
    <t>PINTURAS INTERNAS</t>
  </si>
  <si>
    <t>PINTURA DE MUROS</t>
  </si>
  <si>
    <t>LATERAL ESQUERDA</t>
  </si>
  <si>
    <t>FUNDOS</t>
  </si>
  <si>
    <t>DEMOLIÇÕES</t>
  </si>
  <si>
    <r>
      <t>M</t>
    </r>
    <r>
      <rPr>
        <sz val="8"/>
        <rFont val="Calibri"/>
        <family val="2"/>
      </rPr>
      <t>³</t>
    </r>
  </si>
  <si>
    <t>73806/1</t>
  </si>
  <si>
    <t>Remoção de calhas, rufos e condutores</t>
  </si>
  <si>
    <t>piso cerâmico</t>
  </si>
  <si>
    <t>divisória gesso acartonado</t>
  </si>
  <si>
    <t>alvenaria</t>
  </si>
  <si>
    <t>azulejos</t>
  </si>
  <si>
    <t>portas</t>
  </si>
  <si>
    <t>Demolições</t>
  </si>
  <si>
    <t>Dobradiça inferior para vidro temperado</t>
  </si>
  <si>
    <t>Dobradiça superior para vidro temperado</t>
  </si>
  <si>
    <t>Fechadura central com 2 cilindros para vidro temperado</t>
  </si>
  <si>
    <t>Ferragens para vidro temperado, mola hidráulica</t>
  </si>
  <si>
    <t>Acessários para vidro temperado, puxador de madeira</t>
  </si>
  <si>
    <t>Ferragens para vidro temperado, trinco inferior</t>
  </si>
  <si>
    <t>Ferragens para vidro temperado, bucha tipo 1201 para pivotante de dobradiça</t>
  </si>
  <si>
    <t>Ferragens para vidro temperado, capuchinho tipo 1037</t>
  </si>
  <si>
    <t>Ferragens para vidro temperado, contraplaca para fechadura central</t>
  </si>
  <si>
    <t>Vidro temperado incolor 10 mm</t>
  </si>
  <si>
    <t>% sobre material para cobrir colocação e pequenos itens omissos</t>
  </si>
  <si>
    <t>73753/1</t>
  </si>
  <si>
    <t>LATERAL E FUNDOS  - TERREO</t>
  </si>
  <si>
    <t>COBERTURA SALA OF JUSTIÇA E OAB</t>
  </si>
  <si>
    <t>CORREDOR DE ACESSO LATERAL (PAV TERREO) E COBERTURA SALA OAB E OF JUSTIÇA</t>
  </si>
  <si>
    <t>exaustor 
(ventokit)</t>
  </si>
  <si>
    <t>EXAUSTÃO</t>
  </si>
  <si>
    <t>22.010.000002.</t>
  </si>
  <si>
    <t>Assoalho de madeira de lei, largura 10 ou 20 cm, fixada sobre vigas de madeira de 6 x 16 cm ou de 6 x 12 cm com espaçamento de 35cm</t>
  </si>
  <si>
    <t>Viga de peroba 6 x 12 cm</t>
  </si>
  <si>
    <t>Assoalho de tábuas de madeira ipê com encaixe tipo macho-fêmea 15 cm x # 2 cm</t>
  </si>
  <si>
    <t>Prego com cabeça 18 x 27, 62,1 mm x Ø 3,4 mm</t>
  </si>
  <si>
    <t>ASSOALHO DE MADEIRA EM ESCADA SUB SOLO</t>
  </si>
  <si>
    <t>COMPRIMENTO</t>
  </si>
  <si>
    <t>PE E PATAMAR</t>
  </si>
  <si>
    <t>PLURIGOMA ESCADA SUB SOLO</t>
  </si>
  <si>
    <t>ASSOALHO</t>
  </si>
  <si>
    <t>REVESTIMENTO ESCADA EXISITENTE</t>
  </si>
  <si>
    <t>ESPELHO (*7)</t>
  </si>
  <si>
    <t>ESPELHO ESCADA EXISTENTE (*11)</t>
  </si>
  <si>
    <t>FITA ANTIDERRAPANTE - ESCADAS</t>
  </si>
  <si>
    <t>ESCADA SUB SOLO (18)</t>
  </si>
  <si>
    <t>ESCADA TERREO (18)</t>
  </si>
  <si>
    <t>ESCADA PRIMEIRO PAVIMENTO (20)</t>
  </si>
  <si>
    <t>CORRIMÃO, RODAPÉS, SOLEIRAS E PEITORIS</t>
  </si>
  <si>
    <t>CORRIMÃO ESCADAS</t>
  </si>
  <si>
    <t>RUFOS</t>
  </si>
  <si>
    <t>CALHAS</t>
  </si>
  <si>
    <t>DESCIDAS (TUBO 100MM)</t>
  </si>
  <si>
    <t>A</t>
  </si>
  <si>
    <t>B</t>
  </si>
  <si>
    <t>DISTRIBUIÇÃO ÁGUA FRIA</t>
  </si>
  <si>
    <t>DISTRIBUIÇÃO HORIZONTAL</t>
  </si>
  <si>
    <t>DISTRIBUIÇÃO VERTICAL</t>
  </si>
  <si>
    <t>COLETA ESGOTO SANITÁRIO</t>
  </si>
  <si>
    <t xml:space="preserve">PRUMADAS </t>
  </si>
  <si>
    <t>COLETA HORIZONTAL</t>
  </si>
  <si>
    <t>Pasta lubrificante para tubo de PVC</t>
  </si>
  <si>
    <t>copa/ IS terceirizados fem e masc</t>
  </si>
  <si>
    <t>is pne / copa distribuição</t>
  </si>
  <si>
    <t>OAB/Of Justiça</t>
  </si>
  <si>
    <t>HALL</t>
  </si>
  <si>
    <t>IS JUIZ/IS PUB FEM/ IS PUB MASC/IS JUIZ/ASSIST/COPA/IS SECR</t>
  </si>
  <si>
    <t>IS JUIZ I/COPA/SITE/IS PUB FEM/IS PUB MASC/IS JUIZ II/IS SECRE</t>
  </si>
  <si>
    <t>ASSIST I/02 SALA AUD II/ASSIST II</t>
  </si>
  <si>
    <t>HALL - REMANEJADA</t>
  </si>
  <si>
    <t>sinapi</t>
  </si>
  <si>
    <t>jogo de ferragem para janela correr/maxim ar em aluminio - trilho, rodízios, trincos</t>
  </si>
  <si>
    <t>Veneziana em alumínio anodizado 900 x 300 mm</t>
  </si>
  <si>
    <t>PILARETES DE AMARRAÇÃO DAS ALVENARIAS - TERREO PAB</t>
  </si>
  <si>
    <t>CONCRETO</t>
  </si>
  <si>
    <t>AÇO (70KG/M³)</t>
  </si>
  <si>
    <t>FORMA</t>
  </si>
  <si>
    <t>VIGA DE AMARRAÇÃO DAS ALVENARIAS - TERREO PAB</t>
  </si>
  <si>
    <t>PILARES E VIGA DE AMARRAÇÃODE AMARRAÇÃO DAS ALVENARIAS</t>
  </si>
  <si>
    <t>VERGAS/CONTRAVERGAS</t>
  </si>
  <si>
    <t>VERGAS E CONTRAVERGAS PAVIMENTO TERREO</t>
  </si>
  <si>
    <t>VERGAS E CONTRAVERGAS PAVIMENTO 01</t>
  </si>
  <si>
    <t>VERGAS E CONTRAVERGAS PAVIMENTO 02</t>
  </si>
  <si>
    <t>pe direito</t>
  </si>
  <si>
    <t>corrimão</t>
  </si>
  <si>
    <t>construção aos fundos</t>
  </si>
  <si>
    <t>piso escada</t>
  </si>
  <si>
    <t>metragem</t>
  </si>
  <si>
    <t>total</t>
  </si>
  <si>
    <t>pedreiro</t>
  </si>
  <si>
    <t>PM90x210</t>
  </si>
  <si>
    <t>VT180x210</t>
  </si>
  <si>
    <t>pavimento 01</t>
  </si>
  <si>
    <t>abertura de vão em alvenaria</t>
  </si>
  <si>
    <t>pavimento 02</t>
  </si>
  <si>
    <t>M³</t>
  </si>
  <si>
    <t>3.1</t>
  </si>
  <si>
    <t>3.2</t>
  </si>
  <si>
    <t>3.3</t>
  </si>
  <si>
    <t>3.5</t>
  </si>
  <si>
    <t>3.6</t>
  </si>
  <si>
    <t>3.8</t>
  </si>
  <si>
    <t>3.9</t>
  </si>
  <si>
    <t>3.10</t>
  </si>
  <si>
    <t>3.11</t>
  </si>
  <si>
    <t>3.12</t>
  </si>
  <si>
    <t>3.13</t>
  </si>
  <si>
    <t>3.14</t>
  </si>
  <si>
    <t>3.15</t>
  </si>
  <si>
    <t>3.16</t>
  </si>
  <si>
    <t>3.17</t>
  </si>
  <si>
    <t>3.18</t>
  </si>
  <si>
    <t>3.19</t>
  </si>
  <si>
    <t>3.20</t>
  </si>
  <si>
    <t>3.22</t>
  </si>
  <si>
    <t>3.23</t>
  </si>
  <si>
    <t>3.24</t>
  </si>
  <si>
    <t>3.25</t>
  </si>
  <si>
    <t>3.26</t>
  </si>
  <si>
    <t>3.27</t>
  </si>
  <si>
    <t>3.28</t>
  </si>
  <si>
    <t>3.29</t>
  </si>
  <si>
    <t>4.1</t>
  </si>
  <si>
    <t>4.2</t>
  </si>
  <si>
    <t>4.3</t>
  </si>
  <si>
    <t>4.5</t>
  </si>
  <si>
    <t>4.6</t>
  </si>
  <si>
    <t>4.7</t>
  </si>
  <si>
    <t>4.8</t>
  </si>
  <si>
    <t>4.9</t>
  </si>
  <si>
    <t>4.10</t>
  </si>
  <si>
    <t>4.11</t>
  </si>
  <si>
    <t>4.12</t>
  </si>
  <si>
    <t>4.13</t>
  </si>
  <si>
    <t>5.1</t>
  </si>
  <si>
    <t>Parede de gesso acartonado simples interna, espessura final 100 mm, pé-direito conforme projeto arquitetônico - instalado conforme recomendações do fabricante</t>
  </si>
  <si>
    <t>Parede de gesso acartonado para parede interna em local úmido, VERDE,  espessura final 125 mm, pé-direito conforme projeto arquitetonico - instalado conforme orinetações do fabricante.</t>
  </si>
  <si>
    <t xml:space="preserve">Alvenaria em tijolos cerâmicos furados - 9X14X19cm, 1 vez (espessura 14 cm), assenteado em argamassa traço 1:4 (cimento e areia média não peneirada) - preparo manual, junta 1 cm.
</t>
  </si>
  <si>
    <t>Forma para estruturas de concreto (pilar, viga e laje) em chapa de madeira compensada resinada, de  1,10 X 2,20, espessura  = 12 mm (fabricação, montagem e desmontagem)</t>
  </si>
  <si>
    <t>Concreto FCK=25 MPA, inclusive colocação, espalhamento e acabamento.</t>
  </si>
  <si>
    <t>Armação (fornecimento, corte, dobra e colocação) aço CA-50, diâmetro 6,3 (1/4 ) à 12,5mm (1/2 )</t>
  </si>
  <si>
    <t>5.2</t>
  </si>
  <si>
    <t>5.3</t>
  </si>
  <si>
    <t>5.4</t>
  </si>
  <si>
    <t>5.5</t>
  </si>
  <si>
    <t>5.6</t>
  </si>
  <si>
    <t>5.7</t>
  </si>
  <si>
    <t>5.8</t>
  </si>
  <si>
    <t>5.9</t>
  </si>
  <si>
    <t>5.10</t>
  </si>
  <si>
    <t>5.13</t>
  </si>
  <si>
    <t>6.6</t>
  </si>
  <si>
    <t>6.7</t>
  </si>
  <si>
    <t>6.8</t>
  </si>
  <si>
    <t>6.9</t>
  </si>
  <si>
    <t>6.10</t>
  </si>
  <si>
    <t>6.11</t>
  </si>
  <si>
    <t>6.12</t>
  </si>
  <si>
    <t>6.13</t>
  </si>
  <si>
    <t>6.15</t>
  </si>
  <si>
    <t>6.17</t>
  </si>
  <si>
    <t>6.18</t>
  </si>
  <si>
    <t>6.19</t>
  </si>
  <si>
    <t>6.20</t>
  </si>
  <si>
    <t>6.21</t>
  </si>
  <si>
    <t>6.22</t>
  </si>
  <si>
    <t>6.23</t>
  </si>
  <si>
    <t>6.25</t>
  </si>
  <si>
    <t>6.26</t>
  </si>
  <si>
    <t>6.27</t>
  </si>
  <si>
    <t>6.28</t>
  </si>
  <si>
    <t>6.29</t>
  </si>
  <si>
    <t>6.30</t>
  </si>
  <si>
    <t>6.31</t>
  </si>
  <si>
    <t>6.32</t>
  </si>
  <si>
    <t>6.33</t>
  </si>
  <si>
    <t>6.35</t>
  </si>
  <si>
    <t>6.36</t>
  </si>
  <si>
    <t>6.37</t>
  </si>
  <si>
    <t>6.38</t>
  </si>
  <si>
    <t>6.39</t>
  </si>
  <si>
    <r>
      <rPr>
        <b/>
        <sz val="8"/>
        <rFont val="Arial"/>
        <family val="2"/>
      </rPr>
      <t>PM 90x210</t>
    </r>
    <r>
      <rPr>
        <sz val="8"/>
        <rFont val="Arial"/>
        <family val="2"/>
      </rPr>
      <t xml:space="preserve"> - Porta demadeira compensada lisa para pintura, com fundo primer (Referência: Camilotti ou similar), 90X210X3, 5 cm, completa inclusive batente, vista, dobradiça e fechadura (Referência: Papaiz ou similar) - conforme memorial descritivo.</t>
    </r>
  </si>
  <si>
    <r>
      <rPr>
        <b/>
        <sz val="8"/>
        <rFont val="Arial"/>
        <family val="2"/>
      </rPr>
      <t>PM 70x210</t>
    </r>
    <r>
      <rPr>
        <sz val="8"/>
        <rFont val="Arial"/>
        <family val="2"/>
      </rPr>
      <t xml:space="preserve"> - Porta de madeira compensada lisa para pintura, com fundo primer (Referência: Camilotti ou similar), 70X210X3, 5 cm, completa inclusive batente, vistas, dobradiça e fechadura (Referência: Papaiz ou similar) - conforme memorial descritivo.</t>
    </r>
  </si>
  <si>
    <r>
      <rPr>
        <b/>
        <sz val="8"/>
        <rFont val="Arial"/>
        <family val="2"/>
      </rPr>
      <t xml:space="preserve">PM 80x210 </t>
    </r>
    <r>
      <rPr>
        <sz val="8"/>
        <rFont val="Arial"/>
        <family val="2"/>
      </rPr>
      <t>- Porta de madeira compensada lisa para pintura, com fundo primer (Referência Camilotti ou similar), 80X210X3, 5 cm, completa inclusive batentes, vistas, dobradiças e fechadura (Referência: Papaiz ou similar) - conforme memorial descritivo.</t>
    </r>
  </si>
  <si>
    <r>
      <rPr>
        <b/>
        <sz val="8"/>
        <rFont val="Arial"/>
        <family val="2"/>
      </rPr>
      <t>PM 90x210 PNE</t>
    </r>
    <r>
      <rPr>
        <sz val="8"/>
        <rFont val="Arial"/>
        <family val="2"/>
      </rPr>
      <t xml:space="preserve"> - Porta de madeira compensada lisa para pintura,com fundo primer (Referência: Camilotti ou similar), 90X210X3, 5 cm, completa inclusive batente, vistas, dobradiças e fechadura (Referência: Papaiz ou similar) - para banheiro PNE - com barras de 30cm - conforme memorial descritivo.</t>
    </r>
  </si>
  <si>
    <t>Box para banheiro em vidro temperado incolor, espessura 8mm, fornecimento e instalação, inclusive trilhos e acessórios - instalado - dimensões aproximadas: 135X180cm (aferir medidas no local)</t>
  </si>
  <si>
    <r>
      <rPr>
        <b/>
        <sz val="8"/>
        <rFont val="Arial"/>
        <family val="2"/>
      </rPr>
      <t xml:space="preserve">PA 60x180 </t>
    </r>
    <r>
      <rPr>
        <sz val="8"/>
        <rFont val="Arial"/>
        <family val="2"/>
      </rPr>
      <t>- PORTA DE ALUMÍNIO ANODIZADO NATURAL TIPO VENEZIANA, 60X180, COMPLETA INCLUSIVE BATENTES E ALISAR, DOBRADICAS e FECHADURA (Ref: Papaiz ou similar) - CONFORME MEMORIAL DESCRITIVO</t>
    </r>
  </si>
  <si>
    <t>8.2</t>
  </si>
  <si>
    <t>8.3</t>
  </si>
  <si>
    <t>9.2</t>
  </si>
  <si>
    <t>9.3</t>
  </si>
  <si>
    <r>
      <rPr>
        <b/>
        <sz val="8"/>
        <rFont val="Arial"/>
        <family val="2"/>
      </rPr>
      <t>Emboço</t>
    </r>
    <r>
      <rPr>
        <sz val="8"/>
        <rFont val="Arial"/>
        <family val="2"/>
      </rPr>
      <t xml:space="preserve"> paulista (massa única) traço 1:2:8 (cimento, cal e areia média), espessura 2,0 cm</t>
    </r>
  </si>
  <si>
    <r>
      <rPr>
        <b/>
        <sz val="8"/>
        <rFont val="Arial"/>
        <family val="2"/>
      </rPr>
      <t xml:space="preserve">Revestimento em azulejo </t>
    </r>
    <r>
      <rPr>
        <sz val="8"/>
        <rFont val="Arial"/>
        <family val="2"/>
      </rPr>
      <t>33 x 45 cm - referência técnica: ELIANE ou similar, linha Forma cor branco brilhante - fixado com argamassa colante e rejuntamento com rejunte flexível branco antifungo.</t>
    </r>
  </si>
  <si>
    <t>10.5</t>
  </si>
  <si>
    <t>11.4</t>
  </si>
  <si>
    <t>11.5</t>
  </si>
  <si>
    <t>11.6</t>
  </si>
  <si>
    <r>
      <rPr>
        <b/>
        <sz val="8"/>
        <rFont val="Arial"/>
        <family val="2"/>
      </rPr>
      <t>Piso cerâmico</t>
    </r>
    <r>
      <rPr>
        <sz val="8"/>
        <rFont val="Arial"/>
        <family val="2"/>
      </rPr>
      <t xml:space="preserve"> - classe A, PEI V, dimensões 45X45cm - referência técnica: ELIANE  linha cargo plus, cor write - ou similar - assentado com argamassa colante e rejuntado com rejunte flexível antifungo.</t>
    </r>
  </si>
  <si>
    <t>12.3</t>
  </si>
  <si>
    <t>12.4</t>
  </si>
  <si>
    <t>12.6</t>
  </si>
  <si>
    <t>12.7</t>
  </si>
  <si>
    <t>12.9</t>
  </si>
  <si>
    <t>12.10</t>
  </si>
  <si>
    <t>12.13</t>
  </si>
  <si>
    <r>
      <rPr>
        <b/>
        <sz val="8"/>
        <rFont val="Arial"/>
        <family val="2"/>
      </rPr>
      <t>Rodapé Poliuretano Reciclado</t>
    </r>
    <r>
      <rPr>
        <sz val="8"/>
        <rFont val="Arial"/>
        <family val="2"/>
      </rPr>
      <t xml:space="preserve"> - Referência Técnica: Santa Luzia Moderna 478 15mm x 5cm x 2,40m (Barra) Branco - fixado conforme orientação do fabricante em todos os locais que receberão piso cerâmico novo.</t>
    </r>
  </si>
  <si>
    <r>
      <rPr>
        <b/>
        <sz val="8"/>
        <rFont val="Arial"/>
        <family val="2"/>
      </rPr>
      <t>Peitoril de granito natural,</t>
    </r>
    <r>
      <rPr>
        <sz val="8"/>
        <rFont val="Arial"/>
        <family val="2"/>
      </rPr>
      <t xml:space="preserve"> cinza andorinha ou similar, assentado com argamassa mista de cimento, cal hidratada e areia sem peneirar traço 1:1:4 (largura da parede +2cm)</t>
    </r>
  </si>
  <si>
    <r>
      <rPr>
        <b/>
        <sz val="8"/>
        <rFont val="Arial"/>
        <family val="2"/>
      </rPr>
      <t>Soleira de granito natural</t>
    </r>
    <r>
      <rPr>
        <sz val="8"/>
        <rFont val="Arial"/>
        <family val="2"/>
      </rPr>
      <t>,  cinza andorinha ou similar  - na largura da parede externa, assentado com argamassa mista de cimento, cal hidratada e areia sem peneirar traço 1:1:4 - PORTAS EXTERNAS</t>
    </r>
  </si>
  <si>
    <t>13.1</t>
  </si>
  <si>
    <t>13.3</t>
  </si>
  <si>
    <t>13.4</t>
  </si>
  <si>
    <t>13.6</t>
  </si>
  <si>
    <t>13.7</t>
  </si>
  <si>
    <t>13.8</t>
  </si>
  <si>
    <t>13.9</t>
  </si>
  <si>
    <t>13.10</t>
  </si>
  <si>
    <t>13.11</t>
  </si>
  <si>
    <t>13.12</t>
  </si>
  <si>
    <t>13.13</t>
  </si>
  <si>
    <r>
      <rPr>
        <b/>
        <sz val="8"/>
        <rFont val="Arial"/>
        <family val="2"/>
      </rPr>
      <t>Ponto de água fria</t>
    </r>
    <r>
      <rPr>
        <sz val="8"/>
        <rFont val="Arial"/>
        <family val="2"/>
      </rPr>
      <t xml:space="preserve"> com tubo de PVC e conexões, </t>
    </r>
    <r>
      <rPr>
        <b/>
        <sz val="8"/>
        <rFont val="Arial"/>
        <family val="2"/>
      </rPr>
      <t>Ø 25 mm</t>
    </r>
  </si>
  <si>
    <r>
      <rPr>
        <b/>
        <sz val="8"/>
        <rFont val="Arial"/>
        <family val="2"/>
      </rPr>
      <t xml:space="preserve">Ponto de água fria </t>
    </r>
    <r>
      <rPr>
        <sz val="8"/>
        <rFont val="Arial"/>
        <family val="2"/>
      </rPr>
      <t>com tubo de PVC e conexões,</t>
    </r>
    <r>
      <rPr>
        <b/>
        <sz val="8"/>
        <rFont val="Arial"/>
        <family val="2"/>
      </rPr>
      <t xml:space="preserve"> Ø 32 mm</t>
    </r>
    <r>
      <rPr>
        <sz val="8"/>
        <rFont val="Arial"/>
        <family val="2"/>
      </rPr>
      <t xml:space="preserve"> (1 1/2")  </t>
    </r>
  </si>
  <si>
    <r>
      <rPr>
        <b/>
        <sz val="8"/>
        <rFont val="Arial"/>
        <family val="2"/>
      </rPr>
      <t>Ponto de esgoto primário</t>
    </r>
    <r>
      <rPr>
        <sz val="8"/>
        <rFont val="Arial"/>
        <family val="2"/>
      </rPr>
      <t xml:space="preserve">, com tubo de PVC branco e conexões, </t>
    </r>
    <r>
      <rPr>
        <b/>
        <sz val="8"/>
        <rFont val="Arial"/>
        <family val="2"/>
      </rPr>
      <t>Ø 100 mm</t>
    </r>
  </si>
  <si>
    <r>
      <rPr>
        <b/>
        <sz val="8"/>
        <rFont val="Arial"/>
        <family val="2"/>
      </rPr>
      <t>Ponto de esgoto secundário</t>
    </r>
    <r>
      <rPr>
        <sz val="8"/>
        <rFont val="Arial"/>
        <family val="2"/>
      </rPr>
      <t xml:space="preserve">, com tubo de PVC branco e conexões, </t>
    </r>
    <r>
      <rPr>
        <b/>
        <sz val="8"/>
        <rFont val="Arial"/>
        <family val="2"/>
      </rPr>
      <t>Ø 50 mm</t>
    </r>
  </si>
  <si>
    <t>14.3</t>
  </si>
  <si>
    <t>14.5</t>
  </si>
  <si>
    <t>14.6</t>
  </si>
  <si>
    <r>
      <rPr>
        <b/>
        <sz val="8"/>
        <rFont val="Arial"/>
        <family val="2"/>
      </rPr>
      <t>REGISTRO GAVETA 1.1/2"</t>
    </r>
    <r>
      <rPr>
        <sz val="8"/>
        <rFont val="Arial"/>
        <family val="2"/>
      </rPr>
      <t xml:space="preserve">  - com canopla cromada e acabamento simples - fornecimento e instalação - SANITÁRIOS COM VÁLVULA DE DESCARGA</t>
    </r>
  </si>
  <si>
    <r>
      <t xml:space="preserve">REGISTRO GAVETA 3/4"  - </t>
    </r>
    <r>
      <rPr>
        <sz val="8"/>
        <rFont val="Arial"/>
        <family val="2"/>
      </rPr>
      <t>com canopla e acabamento simples - fornecimento e instalação - sanitários e copas</t>
    </r>
  </si>
  <si>
    <t>14.7</t>
  </si>
  <si>
    <t>14.8</t>
  </si>
  <si>
    <r>
      <rPr>
        <b/>
        <sz val="8"/>
        <rFont val="Arial"/>
        <family val="2"/>
      </rPr>
      <t>REGISTRO DE PRESSÃO COM CANOPLA Ø 25MM (1")</t>
    </r>
    <r>
      <rPr>
        <sz val="8"/>
        <rFont val="Arial"/>
        <family val="2"/>
      </rPr>
      <t xml:space="preserve"> - acabamento simples - fornecimento e instalação - CHUVEIROS
</t>
    </r>
  </si>
  <si>
    <r>
      <rPr>
        <b/>
        <sz val="8"/>
        <rFont val="Arial"/>
        <family val="2"/>
      </rPr>
      <t>Bacia de louça branca especial para PNE</t>
    </r>
    <r>
      <rPr>
        <sz val="8"/>
        <rFont val="Arial"/>
        <family val="2"/>
      </rPr>
      <t xml:space="preserve">  - Referência: linha Conforto V. Plus sem abertura frontal ou similar  - inclusive assento sanitário espcial para PNE</t>
    </r>
  </si>
  <si>
    <r>
      <rPr>
        <b/>
        <sz val="8"/>
        <rFont val="Arial"/>
        <family val="2"/>
      </rPr>
      <t xml:space="preserve">Bacia de louça branca com caixa acoplada </t>
    </r>
    <r>
      <rPr>
        <sz val="8"/>
        <rFont val="Arial"/>
        <family val="2"/>
      </rPr>
      <t xml:space="preserve"> - Referência: linha Ravena DECA ou similar linha ECO (botão duplo acionamento) </t>
    </r>
  </si>
  <si>
    <r>
      <rPr>
        <b/>
        <sz val="8"/>
        <rFont val="Arial"/>
        <family val="2"/>
      </rPr>
      <t>Lavatório de louça branca com coluna</t>
    </r>
    <r>
      <rPr>
        <sz val="8"/>
        <rFont val="Arial"/>
        <family val="2"/>
      </rPr>
      <t xml:space="preserve"> - Referência: linha Ravena Deca ou similar - instalada incluisive válvula de escoamento cromada, sifão, engate cromado para torneira e parafusos cromados para fixação </t>
    </r>
  </si>
  <si>
    <r>
      <rPr>
        <b/>
        <sz val="8"/>
        <rFont val="Arial"/>
        <family val="2"/>
      </rPr>
      <t>Lavatório de louça branca com coluna suspensa - PNE -</t>
    </r>
    <r>
      <rPr>
        <sz val="8"/>
        <rFont val="Arial"/>
        <family val="2"/>
      </rPr>
      <t xml:space="preserve"> Referência: linha V. Plus Deca ou similar - completa incluisive válvula de escoamento cromada, engate cromado flexível, parafusos de fixação cromados </t>
    </r>
  </si>
  <si>
    <r>
      <rPr>
        <b/>
        <sz val="8"/>
        <rFont val="Arial"/>
        <family val="2"/>
      </rPr>
      <t>TANQUE DE LOUÇA COM COLUNA DE 30 LITROS</t>
    </r>
    <r>
      <rPr>
        <sz val="8"/>
        <rFont val="Arial"/>
        <family val="2"/>
      </rPr>
      <t>, inclusive sifão, válvula de escoamento cromada, engate para torneira e parafusos de fixaçãocromados - referência Técnica CELITE ou similar.</t>
    </r>
  </si>
  <si>
    <r>
      <rPr>
        <b/>
        <sz val="8"/>
        <rFont val="Arial"/>
        <family val="2"/>
      </rPr>
      <t xml:space="preserve">Papeleira em metal cromado de parafusar </t>
    </r>
    <r>
      <rPr>
        <sz val="8"/>
        <rFont val="Arial"/>
        <family val="2"/>
      </rPr>
      <t>- referência: linha Deca Flex 2020 ou similar, que apresente características visuais e materiais de fabricação idênticos - instalado junto a cada bacia sanitária nova</t>
    </r>
  </si>
  <si>
    <r>
      <rPr>
        <b/>
        <sz val="8"/>
        <rFont val="Arial"/>
        <family val="2"/>
      </rPr>
      <t>Saboneteira de plástico para sabonete líquido</t>
    </r>
    <r>
      <rPr>
        <sz val="8"/>
        <rFont val="Arial"/>
        <family val="2"/>
      </rPr>
      <t xml:space="preserve"> - referência:  Columbus ou similar</t>
    </r>
  </si>
  <si>
    <r>
      <rPr>
        <b/>
        <sz val="8"/>
        <rFont val="Arial"/>
        <family val="2"/>
      </rPr>
      <t>Dispenser para papel toalha</t>
    </r>
    <r>
      <rPr>
        <sz val="8"/>
        <rFont val="Arial"/>
        <family val="2"/>
      </rPr>
      <t>, linha standard - Fornecimento e instalação  - Referência Técnica: Columbus ou similar</t>
    </r>
  </si>
  <si>
    <r>
      <rPr>
        <b/>
        <sz val="8"/>
        <rFont val="Arial"/>
        <family val="2"/>
      </rPr>
      <t xml:space="preserve">Toalheiro tipo gancho em metal cromado de parafusar </t>
    </r>
    <r>
      <rPr>
        <sz val="8"/>
        <rFont val="Arial"/>
        <family val="2"/>
      </rPr>
      <t>- referêcnia: linha Deca Flex 2060 ou similar - instalados nos sanitários e nas copas</t>
    </r>
  </si>
  <si>
    <r>
      <rPr>
        <b/>
        <sz val="8"/>
        <rFont val="Arial"/>
        <family val="2"/>
      </rPr>
      <t>Espelho cristal para sanitário</t>
    </r>
    <r>
      <rPr>
        <sz val="8"/>
        <rFont val="Arial"/>
        <family val="2"/>
      </rPr>
      <t>, e=5 mm com bisotê de 1,5cm - fixado com 04 (quatro) botões cromados nas bordas.  (0,60x1,00)  - instalado junto a cada lavatório novo.</t>
    </r>
  </si>
  <si>
    <r>
      <rPr>
        <b/>
        <sz val="8"/>
        <rFont val="Arial"/>
        <family val="2"/>
      </rPr>
      <t>Torneira de pressão cromada para lavatório com fechamento automático</t>
    </r>
    <r>
      <rPr>
        <sz val="8"/>
        <rFont val="Arial"/>
        <family val="2"/>
      </rPr>
      <t xml:space="preserve"> - Referência: Torneira Lavatório uso público mesa Pressmatic Alfa CR 446106 - Docol ou similar - fechamaneto automático ou similar</t>
    </r>
  </si>
  <si>
    <r>
      <rPr>
        <b/>
        <sz val="8"/>
        <rFont val="Arial"/>
        <family val="2"/>
      </rPr>
      <t>Torneira de pressão cromada para pia de parede, bica alta móvel</t>
    </r>
    <r>
      <rPr>
        <sz val="8"/>
        <rFont val="Arial"/>
        <family val="2"/>
      </rPr>
      <t xml:space="preserve">  - Referência: linha Prata 50 parede cromada bica móvel DECA ou similar.  (copas)</t>
    </r>
  </si>
  <si>
    <r>
      <rPr>
        <b/>
        <sz val="8"/>
        <rFont val="Arial"/>
        <family val="2"/>
      </rPr>
      <t xml:space="preserve">Torneira de pressão cromada para uso geral  </t>
    </r>
    <r>
      <rPr>
        <sz val="8"/>
        <rFont val="Arial"/>
        <family val="2"/>
      </rPr>
      <t xml:space="preserve">3/4" PAR. STANDARD 39 CR 1153 - DECA ou similar </t>
    </r>
  </si>
  <si>
    <r>
      <rPr>
        <b/>
        <sz val="8"/>
        <rFont val="Arial"/>
        <family val="2"/>
      </rPr>
      <t>Barra de apoio para lavatório de portadores de necessidades especiais</t>
    </r>
    <r>
      <rPr>
        <sz val="8"/>
        <rFont val="Arial"/>
        <family val="2"/>
      </rPr>
      <t>, em inox escovado 54 cm x 40 cmc (no lavatório PNE)</t>
    </r>
  </si>
  <si>
    <r>
      <rPr>
        <b/>
        <sz val="8"/>
        <rFont val="Arial"/>
        <family val="2"/>
      </rPr>
      <t>Barra de apoio cromada para portadores de necessidades especiais</t>
    </r>
    <r>
      <rPr>
        <sz val="8"/>
        <rFont val="Arial"/>
        <family val="2"/>
      </rPr>
      <t>, largura 80 cm - instalada com parafusos e buchas.  ( instaladas junto às bacias PNE)</t>
    </r>
  </si>
  <si>
    <r>
      <rPr>
        <b/>
        <sz val="8"/>
        <rFont val="Arial"/>
        <family val="2"/>
      </rPr>
      <t>CHUVEIRO TIPO DUCHA METÁLICO,</t>
    </r>
    <r>
      <rPr>
        <sz val="8"/>
        <rFont val="Arial"/>
        <family val="2"/>
      </rPr>
      <t xml:space="preserve"> elétrico automático - 5400 W - referência técnica: Tradição Lorenzetti ou similar.</t>
    </r>
  </si>
  <si>
    <r>
      <rPr>
        <b/>
        <sz val="8"/>
        <rFont val="Arial"/>
        <family val="2"/>
      </rPr>
      <t xml:space="preserve">Base para válvula de descarga metálica Ø 32 mm (1 1/4") </t>
    </r>
    <r>
      <rPr>
        <sz val="8"/>
        <rFont val="Arial"/>
        <family val="2"/>
      </rPr>
      <t>ou 40 mm (1 1/2")  - Referência: Docol Salvágua cromado 451106 - botão de duplo acionamento  (pne)</t>
    </r>
  </si>
  <si>
    <r>
      <rPr>
        <b/>
        <sz val="8"/>
        <rFont val="Arial"/>
        <family val="2"/>
      </rPr>
      <t>Acabamento cromado para válvula de descarga tipo barra para acionamento</t>
    </r>
    <r>
      <rPr>
        <sz val="8"/>
        <rFont val="Arial"/>
        <family val="2"/>
      </rPr>
      <t xml:space="preserve"> - referência: Acabamento Válv. Desc. 1.1/2" Benefit Cr 184906 - Docol ou similar (pne)</t>
    </r>
  </si>
  <si>
    <r>
      <rPr>
        <b/>
        <sz val="8"/>
        <rFont val="Arial"/>
        <family val="2"/>
      </rPr>
      <t xml:space="preserve">Caixa de gordura de polietileno, </t>
    </r>
    <r>
      <rPr>
        <sz val="8"/>
        <rFont val="Arial"/>
        <family val="2"/>
      </rPr>
      <t>250 x 172 x 50mm - uma por copa.</t>
    </r>
  </si>
  <si>
    <r>
      <rPr>
        <b/>
        <sz val="8"/>
        <rFont val="Arial"/>
        <family val="2"/>
      </rPr>
      <t xml:space="preserve">Tubo corrugado para ventilação - </t>
    </r>
    <r>
      <rPr>
        <sz val="8"/>
        <rFont val="Arial"/>
        <family val="2"/>
      </rPr>
      <t>referência técnica: Ventilwest 150 x 2500 ou similar - para adaptação em exaustor tipo ventokit.</t>
    </r>
  </si>
  <si>
    <r>
      <rPr>
        <b/>
        <sz val="8"/>
        <rFont val="Arial"/>
        <family val="2"/>
      </rPr>
      <t>Ponto de água fria</t>
    </r>
    <r>
      <rPr>
        <sz val="8"/>
        <rFont val="Arial"/>
        <family val="2"/>
      </rPr>
      <t xml:space="preserve"> com tubo de PVC e conexões,</t>
    </r>
    <r>
      <rPr>
        <b/>
        <sz val="8"/>
        <rFont val="Arial"/>
        <family val="2"/>
      </rPr>
      <t xml:space="preserve"> Ø 32 mm </t>
    </r>
    <r>
      <rPr>
        <sz val="8"/>
        <rFont val="Arial"/>
        <family val="2"/>
      </rPr>
      <t xml:space="preserve">(1 1/2")  </t>
    </r>
  </si>
  <si>
    <r>
      <rPr>
        <b/>
        <sz val="8"/>
        <rFont val="Arial"/>
        <family val="2"/>
      </rPr>
      <t>Ponto de esgoto secundário,</t>
    </r>
    <r>
      <rPr>
        <sz val="8"/>
        <rFont val="Arial"/>
        <family val="2"/>
      </rPr>
      <t xml:space="preserve"> com tubo de PVC branco e conexões, </t>
    </r>
    <r>
      <rPr>
        <b/>
        <sz val="8"/>
        <rFont val="Arial"/>
        <family val="2"/>
      </rPr>
      <t>Ø 50 mm</t>
    </r>
  </si>
  <si>
    <t>PM90X210</t>
  </si>
  <si>
    <t>PM80X210</t>
  </si>
  <si>
    <t>PM70X210</t>
  </si>
  <si>
    <t>PM180X210</t>
  </si>
  <si>
    <t>PAV90X210</t>
  </si>
  <si>
    <t>PCF90X210</t>
  </si>
  <si>
    <t>JA60X60</t>
  </si>
  <si>
    <t>JA90X60X30V</t>
  </si>
  <si>
    <t>JA180X90</t>
  </si>
  <si>
    <t>JA180X120</t>
  </si>
  <si>
    <t>perícias/BANCO</t>
  </si>
  <si>
    <t>JI180X60</t>
  </si>
  <si>
    <r>
      <rPr>
        <b/>
        <sz val="8"/>
        <rFont val="Arial"/>
        <family val="2"/>
      </rPr>
      <t>PM 180x210</t>
    </r>
    <r>
      <rPr>
        <sz val="8"/>
        <rFont val="Arial"/>
        <family val="2"/>
      </rPr>
      <t xml:space="preserve"> - Porta de madeira compensada lisa para pintura, com fundo primer (Referência: Camilotti ou similar), 180X210X3, 5 cm, completa inclusive batentes, vistas, dobradiças e fechadura (Referência: Papaiz ou similar) - conforme memorial descritivo</t>
    </r>
  </si>
  <si>
    <r>
      <rPr>
        <b/>
        <sz val="8"/>
        <rFont val="Arial"/>
        <family val="2"/>
      </rPr>
      <t xml:space="preserve">JA1,80X0,90 </t>
    </r>
    <r>
      <rPr>
        <sz val="8"/>
        <rFont val="Arial"/>
        <family val="2"/>
      </rPr>
      <t>Janela em vidro temperado, de correr com estrutura de alumínio, espessura 10 mm</t>
    </r>
  </si>
  <si>
    <r>
      <rPr>
        <b/>
        <sz val="8"/>
        <rFont val="Arial"/>
        <family val="2"/>
      </rPr>
      <t>JA1,80X1,20</t>
    </r>
    <r>
      <rPr>
        <sz val="8"/>
        <rFont val="Arial"/>
        <family val="2"/>
      </rPr>
      <t xml:space="preserve"> Janela em vidro temperado, de correr com estrutura de alumínio, espessura 10 mm</t>
    </r>
  </si>
  <si>
    <t>JA130X85</t>
  </si>
  <si>
    <t>CONCILIAÇÃO/SALA DE AUDIENCIAS II</t>
  </si>
  <si>
    <t>JA240X85</t>
  </si>
  <si>
    <r>
      <rPr>
        <b/>
        <sz val="8"/>
        <rFont val="Arial"/>
        <family val="2"/>
      </rPr>
      <t>J A1,30x0,85</t>
    </r>
    <r>
      <rPr>
        <sz val="8"/>
        <rFont val="Arial"/>
        <family val="2"/>
      </rPr>
      <t xml:space="preserve"> Janela em vidro temperado, de correr com estrutura de alumínio, espessura 10 mm</t>
    </r>
  </si>
  <si>
    <r>
      <rPr>
        <b/>
        <sz val="8"/>
        <rFont val="Arial"/>
        <family val="2"/>
      </rPr>
      <t>JA130X85</t>
    </r>
    <r>
      <rPr>
        <sz val="8"/>
        <rFont val="Arial"/>
        <family val="2"/>
      </rPr>
      <t xml:space="preserve"> Janela em vidro temperado, de correr com estrutura de alumínio, espessura 10 mm</t>
    </r>
  </si>
  <si>
    <r>
      <rPr>
        <b/>
        <sz val="8"/>
        <rFont val="Arial"/>
        <family val="2"/>
      </rPr>
      <t xml:space="preserve">J A1,30x1,40 </t>
    </r>
    <r>
      <rPr>
        <sz val="8"/>
        <rFont val="Arial"/>
        <family val="2"/>
      </rPr>
      <t>Janela em vidro temperado, de correr com estrutura de alumínio, espessura 10 mm</t>
    </r>
  </si>
  <si>
    <t>PM90X210(PNE)</t>
  </si>
  <si>
    <t>Arquivo II</t>
  </si>
  <si>
    <t>PAB</t>
  </si>
  <si>
    <t>Direçao, circu</t>
  </si>
  <si>
    <t>Sala Multiuso</t>
  </si>
  <si>
    <t>Vesti I / II e circ.</t>
  </si>
  <si>
    <t>fechamento porta IS</t>
  </si>
  <si>
    <t>IS Público</t>
  </si>
  <si>
    <t>copa terceirizados/IS terceirizado</t>
  </si>
  <si>
    <t>copa/is distribuição</t>
  </si>
  <si>
    <r>
      <rPr>
        <b/>
        <sz val="8"/>
        <rFont val="Arial"/>
        <family val="2"/>
      </rPr>
      <t>PINTURA LATEX ACRILICA</t>
    </r>
    <r>
      <rPr>
        <sz val="8"/>
        <rFont val="Arial"/>
        <family val="2"/>
      </rPr>
      <t xml:space="preserve"> ambientes externos e internos - 2 demão</t>
    </r>
  </si>
  <si>
    <r>
      <rPr>
        <b/>
        <sz val="8"/>
        <rFont val="Arial"/>
        <family val="2"/>
      </rPr>
      <t>EMASSAMENTO</t>
    </r>
    <r>
      <rPr>
        <sz val="8"/>
        <rFont val="Arial"/>
        <family val="2"/>
      </rPr>
      <t xml:space="preserve"> com massa PVA</t>
    </r>
  </si>
  <si>
    <r>
      <rPr>
        <b/>
        <sz val="8"/>
        <rFont val="Arial"/>
        <family val="2"/>
      </rPr>
      <t>PINTURA LATEX ACRILICA</t>
    </r>
    <r>
      <rPr>
        <sz val="8"/>
        <rFont val="Arial"/>
        <family val="2"/>
      </rPr>
      <t xml:space="preserve"> ambientes externos e internos - 2 demão -</t>
    </r>
    <r>
      <rPr>
        <b/>
        <sz val="8"/>
        <rFont val="Arial"/>
        <family val="2"/>
      </rPr>
      <t xml:space="preserve"> PAREDES</t>
    </r>
  </si>
  <si>
    <r>
      <rPr>
        <b/>
        <sz val="8"/>
        <rFont val="Arial"/>
        <family val="2"/>
      </rPr>
      <t>PINTURA LATEX ACRILICA</t>
    </r>
    <r>
      <rPr>
        <sz val="8"/>
        <rFont val="Arial"/>
        <family val="2"/>
      </rPr>
      <t xml:space="preserve"> ambientes externos e internos - 2 demão -</t>
    </r>
    <r>
      <rPr>
        <b/>
        <sz val="8"/>
        <rFont val="Arial"/>
        <family val="2"/>
      </rPr>
      <t xml:space="preserve"> TETOS</t>
    </r>
  </si>
  <si>
    <r>
      <rPr>
        <b/>
        <sz val="8"/>
        <rFont val="Arial"/>
        <family val="2"/>
      </rPr>
      <t>PINTURA ESMALTE ACETINADO</t>
    </r>
    <r>
      <rPr>
        <sz val="8"/>
        <rFont val="Arial"/>
        <family val="2"/>
      </rPr>
      <t>, em esquadrias de madeira, duas demão - incluisve preparo</t>
    </r>
  </si>
  <si>
    <r>
      <rPr>
        <b/>
        <sz val="8"/>
        <rFont val="Arial"/>
        <family val="2"/>
      </rPr>
      <t>PINTURA ACRILICA DE FAIXAS DE DEMARCACAO</t>
    </r>
    <r>
      <rPr>
        <sz val="8"/>
        <rFont val="Arial"/>
        <family val="2"/>
      </rPr>
      <t xml:space="preserve">  - demarcação de vagas, 5 cm de largura</t>
    </r>
  </si>
  <si>
    <r>
      <rPr>
        <b/>
        <sz val="8"/>
        <rFont val="Arial"/>
        <family val="2"/>
      </rPr>
      <t>LIMPEZA</t>
    </r>
    <r>
      <rPr>
        <sz val="8"/>
        <rFont val="Arial"/>
        <family val="2"/>
      </rPr>
      <t xml:space="preserve"> final da obra - remoção total de entulhos</t>
    </r>
  </si>
  <si>
    <t>14.9</t>
  </si>
  <si>
    <t>14.10</t>
  </si>
  <si>
    <t>14.11</t>
  </si>
  <si>
    <t>14.12</t>
  </si>
  <si>
    <t>14.13</t>
  </si>
  <si>
    <t>14.14</t>
  </si>
  <si>
    <t>14.15</t>
  </si>
  <si>
    <t>14.16</t>
  </si>
  <si>
    <t>14.17</t>
  </si>
  <si>
    <t>14.18</t>
  </si>
  <si>
    <t>14.19</t>
  </si>
  <si>
    <t>14.20</t>
  </si>
  <si>
    <t>14.21</t>
  </si>
  <si>
    <t>14.22</t>
  </si>
  <si>
    <t>14.23</t>
  </si>
  <si>
    <t>14.24</t>
  </si>
  <si>
    <t>14.25</t>
  </si>
  <si>
    <t>14.26</t>
  </si>
  <si>
    <t>14.27</t>
  </si>
  <si>
    <t>14.28</t>
  </si>
  <si>
    <t>14.29</t>
  </si>
  <si>
    <t>14.30</t>
  </si>
  <si>
    <t>14.31</t>
  </si>
  <si>
    <t>14.32</t>
  </si>
  <si>
    <t>14.33</t>
  </si>
  <si>
    <t>14.34</t>
  </si>
  <si>
    <t>14.35</t>
  </si>
  <si>
    <t>14.36</t>
  </si>
  <si>
    <t>14.37</t>
  </si>
  <si>
    <t>14.38</t>
  </si>
  <si>
    <t>14.39</t>
  </si>
  <si>
    <t>14.40</t>
  </si>
  <si>
    <t>14.41</t>
  </si>
  <si>
    <t>14.42</t>
  </si>
  <si>
    <t>14.43</t>
  </si>
  <si>
    <t>14.44</t>
  </si>
  <si>
    <t>14.45</t>
  </si>
  <si>
    <t>14.46</t>
  </si>
  <si>
    <t>14.47</t>
  </si>
  <si>
    <t>14.48</t>
  </si>
  <si>
    <t>14.49</t>
  </si>
  <si>
    <t>14.50</t>
  </si>
  <si>
    <t>14.51</t>
  </si>
  <si>
    <t>14.52</t>
  </si>
  <si>
    <t>14.53</t>
  </si>
  <si>
    <t>14.54</t>
  </si>
  <si>
    <t>14.55</t>
  </si>
  <si>
    <t>14.56</t>
  </si>
  <si>
    <t>14.57</t>
  </si>
  <si>
    <t>14.58</t>
  </si>
  <si>
    <t>14.59</t>
  </si>
  <si>
    <t>14.60</t>
  </si>
  <si>
    <t>14.61</t>
  </si>
  <si>
    <t>14.62</t>
  </si>
  <si>
    <t>14.63</t>
  </si>
  <si>
    <t>14.64</t>
  </si>
  <si>
    <t>14.65</t>
  </si>
  <si>
    <t>14.66</t>
  </si>
  <si>
    <t>14.67</t>
  </si>
  <si>
    <t>14.68</t>
  </si>
  <si>
    <t>14.69</t>
  </si>
  <si>
    <t>14.70</t>
  </si>
  <si>
    <t>14.80</t>
  </si>
  <si>
    <t>14.71</t>
  </si>
  <si>
    <t>14.72</t>
  </si>
  <si>
    <t>14.73</t>
  </si>
  <si>
    <t>14.74</t>
  </si>
  <si>
    <t>14.75</t>
  </si>
  <si>
    <t>14.76</t>
  </si>
  <si>
    <t>14.77</t>
  </si>
  <si>
    <t>14.78</t>
  </si>
  <si>
    <t>14.82</t>
  </si>
  <si>
    <r>
      <rPr>
        <b/>
        <sz val="8"/>
        <rFont val="Arial"/>
        <family val="2"/>
      </rPr>
      <t>EXTINTOR DE PÓ CLASSE ABC</t>
    </r>
    <r>
      <rPr>
        <sz val="8"/>
        <rFont val="Arial"/>
        <family val="2"/>
      </rPr>
      <t xml:space="preserve"> - 6kg - fornecimento e instalação.</t>
    </r>
  </si>
  <si>
    <t>15.1</t>
  </si>
  <si>
    <t>15.3</t>
  </si>
  <si>
    <t>17.2</t>
  </si>
  <si>
    <t>17.3</t>
  </si>
  <si>
    <t>17.4</t>
  </si>
  <si>
    <t>17.5</t>
  </si>
  <si>
    <t>17.6</t>
  </si>
  <si>
    <t>17.7</t>
  </si>
  <si>
    <t>17.8</t>
  </si>
  <si>
    <t>17.9</t>
  </si>
  <si>
    <t>17.10</t>
  </si>
  <si>
    <t>17.11</t>
  </si>
  <si>
    <t>17.12</t>
  </si>
  <si>
    <t>17.13</t>
  </si>
  <si>
    <t>17.14</t>
  </si>
  <si>
    <t>17.15</t>
  </si>
  <si>
    <t>17.16</t>
  </si>
  <si>
    <t>17.17</t>
  </si>
  <si>
    <t>17.18</t>
  </si>
  <si>
    <t>17.19</t>
  </si>
  <si>
    <t>17.20</t>
  </si>
  <si>
    <t>17.21</t>
  </si>
  <si>
    <t>17.22</t>
  </si>
  <si>
    <t>17.23</t>
  </si>
  <si>
    <t>18.1</t>
  </si>
  <si>
    <r>
      <rPr>
        <b/>
        <sz val="8"/>
        <rFont val="Arial"/>
        <family val="2"/>
      </rPr>
      <t>JA2,40x,85</t>
    </r>
    <r>
      <rPr>
        <sz val="8"/>
        <rFont val="Arial"/>
        <family val="2"/>
      </rPr>
      <t xml:space="preserve"> Janela em vidro temperado, de correr com estrutura de alumínio, espessura 10 mm</t>
    </r>
  </si>
  <si>
    <t>Eletricista industrial</t>
  </si>
  <si>
    <t>DRENOS 32MM</t>
  </si>
  <si>
    <t>DISTÂNCIA MÉDIA</t>
  </si>
  <si>
    <t>DRENOS PARA AR CONDICIONADO</t>
  </si>
  <si>
    <r>
      <rPr>
        <b/>
        <sz val="8"/>
        <rFont val="Arial"/>
        <family val="2"/>
      </rPr>
      <t xml:space="preserve">JA 60x60 </t>
    </r>
    <r>
      <rPr>
        <sz val="8"/>
        <rFont val="Arial"/>
        <family val="2"/>
      </rPr>
      <t>- Janela em vidro temperado, maximo ar com estrutura de alumínio, espessura 10 mm</t>
    </r>
  </si>
  <si>
    <r>
      <rPr>
        <b/>
        <sz val="8"/>
        <rFont val="Arial"/>
        <family val="2"/>
      </rPr>
      <t>JA90X75X30V</t>
    </r>
    <r>
      <rPr>
        <sz val="8"/>
        <rFont val="Arial"/>
        <family val="2"/>
      </rPr>
      <t xml:space="preserve"> Janela em vidro temperado,  maximo ar com estrutura de alumínio, espessura 10 mm</t>
    </r>
  </si>
  <si>
    <r>
      <rPr>
        <b/>
        <sz val="8"/>
        <rFont val="Arial"/>
        <family val="2"/>
      </rPr>
      <t>J I 1,80X0,60</t>
    </r>
    <r>
      <rPr>
        <sz val="8"/>
        <rFont val="Arial"/>
        <family val="2"/>
      </rPr>
      <t xml:space="preserve"> Janela em vidro temperado, maxim-ar com estrutura de alumínio, espessura 10 mm</t>
    </r>
  </si>
  <si>
    <r>
      <rPr>
        <b/>
        <sz val="8"/>
        <rFont val="Arial"/>
        <family val="2"/>
      </rPr>
      <t xml:space="preserve">PAC 90x210 - Porta </t>
    </r>
    <r>
      <rPr>
        <sz val="8"/>
        <rFont val="Arial"/>
        <family val="2"/>
      </rPr>
      <t xml:space="preserve">de madeira Porta acústica  - capacidade de redução sonora de 30 dB(A), confeccionada em MDF com acabamento laminado, preenchida com isolantes acústicos de alta densidade, contendo fechadura Papaiz cromada com cilindro 75mm, dobradiças de 4" reforçadas com anilhas, barra retrátil telescópica em aluminio para vedação da soleira - conforme memorial descritivo. Acompanha caixilho em madeira maciça com acabamento laminado para paredes de alvenaria com espessura de 14 cm ou drywall sob medida, contendo vedações com borrachas compressíveis, além de guarnições em ambas as faces. 
</t>
    </r>
  </si>
  <si>
    <t>23001000016
adaptada</t>
  </si>
  <si>
    <r>
      <t>Tubo em alumínio quadrado -</t>
    </r>
    <r>
      <rPr>
        <sz val="8"/>
        <rFont val="Arial"/>
        <family val="2"/>
      </rPr>
      <t xml:space="preserve"> acabamentos entre a parede de gesso acartonado e a esquadria de vidro - gabinete do juíz (frente) - conforme detalhe</t>
    </r>
  </si>
  <si>
    <t>LIMPEZA</t>
  </si>
  <si>
    <t>COMUNICAÇÃO VISUAL</t>
  </si>
  <si>
    <t>COMPOSIÇÃO PRÓPRIA</t>
  </si>
  <si>
    <r>
      <t xml:space="preserve">Instalação de quadros de avisos e editais - </t>
    </r>
    <r>
      <rPr>
        <sz val="8"/>
        <rFont val="Arial"/>
        <family val="2"/>
      </rPr>
      <t>somente mão de obra para fixação - material fornecido pelo TRT</t>
    </r>
  </si>
  <si>
    <r>
      <t xml:space="preserve">Instalação de  placas de identificação - </t>
    </r>
    <r>
      <rPr>
        <sz val="8"/>
        <rFont val="Arial"/>
        <family val="2"/>
      </rPr>
      <t>somente mão de obra para fixação - material fornecido pelo TRT</t>
    </r>
  </si>
  <si>
    <r>
      <t>Instalação de  Letreiro na fachada -</t>
    </r>
    <r>
      <rPr>
        <sz val="8"/>
        <rFont val="Arial"/>
        <family val="2"/>
      </rPr>
      <t xml:space="preserve"> com utilização de gabarito e fixado através de pinos na alvenaria - somente mão de obra para fixação - material fornecido </t>
    </r>
    <r>
      <rPr>
        <b/>
        <sz val="8"/>
        <rFont val="Arial"/>
        <family val="2"/>
      </rPr>
      <t>pelo TRT</t>
    </r>
  </si>
  <si>
    <r>
      <t>Instalação de  adesivo em portas e painéis de vidro temperado -</t>
    </r>
    <r>
      <rPr>
        <sz val="8"/>
        <rFont val="Arial"/>
        <family val="2"/>
      </rPr>
      <t xml:space="preserve"> somente mão de obra para fixação - material fornecido pelo TRT</t>
    </r>
  </si>
  <si>
    <t>envelope da descida de esgoto</t>
  </si>
  <si>
    <t>15410.8.23.1
adaptada - somente instalação</t>
  </si>
  <si>
    <t>Bebedouro - instalação de bebedouro público fornecido pelo TRT</t>
  </si>
  <si>
    <t>acrescido bebedouro</t>
  </si>
  <si>
    <r>
      <rPr>
        <b/>
        <sz val="8"/>
        <rFont val="Arial"/>
        <family val="2"/>
      </rPr>
      <t>Piso granito bruto</t>
    </r>
    <r>
      <rPr>
        <sz val="8"/>
        <rFont val="Arial"/>
        <family val="2"/>
      </rPr>
      <t xml:space="preserve"> - assentado sobre argamassa  colante - inclusive rejuntamento - a instalar no hall de entrada externo - antes da porta de vidro temperado</t>
    </r>
  </si>
  <si>
    <t>Balcão de atendimento da secretaria - 3,90m -  em  tampo de granito polido andorinha  para balcão de atendimento, e=30,00 mm, largura 0,60 m - acabamento meio boleado .</t>
  </si>
  <si>
    <t>Balcão de atendimento da secretaria  - 2,70 m em  tampo de granito polido andorinha  para balcão de atendimento, e=30,00 mm  - acabamento meio boleado .</t>
  </si>
  <si>
    <t>Balcão de atendimento da secretaria - 3,90m -  em  tampo de granito polido andorinha  para balcão de atendimento, e=30,00 mm - acabamento meio boleado .</t>
  </si>
  <si>
    <r>
      <t>TUBO PVC SOLDAVEL AGUA FRIA DN 32MM,</t>
    </r>
    <r>
      <rPr>
        <sz val="8"/>
        <rFont val="Arial"/>
        <family val="2"/>
      </rPr>
      <t xml:space="preserve"> inclusive conexões - fornecimento e instalação</t>
    </r>
  </si>
  <si>
    <r>
      <rPr>
        <b/>
        <sz val="8"/>
        <rFont val="Arial"/>
        <family val="2"/>
      </rPr>
      <t>ENGENHEIRO</t>
    </r>
    <r>
      <rPr>
        <sz val="8"/>
        <rFont val="Arial"/>
        <family val="2"/>
      </rPr>
      <t xml:space="preserve"> OU ARQUITETO DE OBRA- meio período</t>
    </r>
  </si>
  <si>
    <r>
      <rPr>
        <b/>
        <sz val="8"/>
        <rFont val="Arial"/>
        <family val="2"/>
      </rPr>
      <t>CAÇAMBA</t>
    </r>
    <r>
      <rPr>
        <sz val="8"/>
        <rFont val="Arial"/>
        <family val="2"/>
      </rPr>
      <t xml:space="preserve"> PARA ENTULHO COMUM</t>
    </r>
  </si>
  <si>
    <r>
      <rPr>
        <b/>
        <sz val="8"/>
        <rFont val="Arial"/>
        <family val="2"/>
      </rPr>
      <t>Furo</t>
    </r>
    <r>
      <rPr>
        <sz val="8"/>
        <rFont val="Arial"/>
        <family val="2"/>
      </rPr>
      <t xml:space="preserve"> em concreto com coroas diamantadas, utilizando perfuratriz elétrica Ø 5" a 5 1/4" profundidade 40 cm</t>
    </r>
  </si>
  <si>
    <r>
      <rPr>
        <b/>
        <sz val="8"/>
        <rFont val="Arial"/>
        <family val="2"/>
      </rPr>
      <t>Furo</t>
    </r>
    <r>
      <rPr>
        <sz val="8"/>
        <rFont val="Arial"/>
        <family val="2"/>
      </rPr>
      <t xml:space="preserve"> em concreto com broca de widia, utilizando martele elétrico Ø 1 1/2" profundidade 15 cm</t>
    </r>
  </si>
  <si>
    <r>
      <rPr>
        <b/>
        <sz val="8"/>
        <rFont val="Arial"/>
        <family val="2"/>
      </rPr>
      <t>Retirada de estrutura de cobertura</t>
    </r>
    <r>
      <rPr>
        <sz val="8"/>
        <rFont val="Arial"/>
        <family val="2"/>
      </rPr>
      <t>, telhas e painéis de fechamento  - na fachada principal (passeio) e na lateral do imóvel (porta de acesso lateral corta fogo dupla)</t>
    </r>
  </si>
  <si>
    <r>
      <rPr>
        <b/>
        <sz val="8"/>
        <rFont val="Arial"/>
        <family val="2"/>
      </rPr>
      <t xml:space="preserve">Desmontagem e remoção de divisórias </t>
    </r>
    <r>
      <rPr>
        <sz val="8"/>
        <rFont val="Arial"/>
        <family val="2"/>
      </rPr>
      <t>em gesso acartonado/naval - inclusive perfis e acessórios de fixação - inclui transporte até a caçamba</t>
    </r>
  </si>
  <si>
    <r>
      <rPr>
        <b/>
        <sz val="8"/>
        <rFont val="Arial"/>
        <family val="2"/>
      </rPr>
      <t xml:space="preserve">Remoção forro existente </t>
    </r>
    <r>
      <rPr>
        <sz val="8"/>
        <rFont val="Arial"/>
        <family val="2"/>
      </rPr>
      <t>- inclusive perfis de fixação, rodaforro e acabamentos - inclui transporte até a caçamba</t>
    </r>
  </si>
  <si>
    <r>
      <rPr>
        <b/>
        <sz val="8"/>
        <rFont val="Arial"/>
        <family val="2"/>
      </rPr>
      <t>Demolição de revestimento de piso</t>
    </r>
    <r>
      <rPr>
        <sz val="8"/>
        <rFont val="Arial"/>
        <family val="2"/>
      </rPr>
      <t xml:space="preserve">  - incluisve base de assentamento  - inclui transporte até a caçamba</t>
    </r>
  </si>
  <si>
    <r>
      <rPr>
        <b/>
        <sz val="8"/>
        <rFont val="Arial"/>
        <family val="2"/>
      </rPr>
      <t>Demolição de azulejo</t>
    </r>
    <r>
      <rPr>
        <sz val="8"/>
        <rFont val="Arial"/>
        <family val="2"/>
      </rPr>
      <t xml:space="preserve"> - inclusive base de assentamento - inclui carga do entulho até a caçamba</t>
    </r>
  </si>
  <si>
    <r>
      <rPr>
        <b/>
        <sz val="8"/>
        <rFont val="Arial"/>
        <family val="2"/>
      </rPr>
      <t>Demolição de paredes de alvenaria</t>
    </r>
    <r>
      <rPr>
        <sz val="8"/>
        <rFont val="Arial"/>
        <family val="2"/>
      </rPr>
      <t xml:space="preserve"> - paredes divisórias e abertura de vãos para instalação de esquadrias</t>
    </r>
  </si>
  <si>
    <r>
      <rPr>
        <b/>
        <sz val="8"/>
        <rFont val="Arial"/>
        <family val="2"/>
      </rPr>
      <t>Remoção de esquadrias de madeira/ferro</t>
    </r>
    <r>
      <rPr>
        <sz val="8"/>
        <rFont val="Arial"/>
        <family val="2"/>
      </rPr>
      <t xml:space="preserve">  - inclusive ferragens, contramarcos e vistas - inclui transporte até a caçamba</t>
    </r>
  </si>
  <si>
    <r>
      <rPr>
        <b/>
        <sz val="8"/>
        <rFont val="Arial"/>
        <family val="2"/>
      </rPr>
      <t xml:space="preserve">Limpeza de superfícies com jato de alta pressão de água e ar </t>
    </r>
    <r>
      <rPr>
        <sz val="8"/>
        <rFont val="Arial"/>
        <family val="2"/>
      </rPr>
      <t>- a ser realizada antes da execução da impermeabilização na entrada lateral/laje de cobertura da sala de oficiais de justiça</t>
    </r>
  </si>
  <si>
    <r>
      <rPr>
        <b/>
        <sz val="8"/>
        <rFont val="Arial"/>
        <family val="2"/>
      </rPr>
      <t>Remoção de corrimão metálico e elementos diversos -</t>
    </r>
    <r>
      <rPr>
        <sz val="8"/>
        <rFont val="Arial"/>
        <family val="2"/>
      </rPr>
      <t xml:space="preserve"> corredor de acesso lateral e escada de acesso ao sub solo</t>
    </r>
  </si>
  <si>
    <r>
      <rPr>
        <b/>
        <sz val="8"/>
        <rFont val="Arial"/>
        <family val="2"/>
      </rPr>
      <t xml:space="preserve">Remoção do tapume </t>
    </r>
    <r>
      <rPr>
        <sz val="8"/>
        <rFont val="Arial"/>
        <family val="2"/>
      </rPr>
      <t>de fechamento do piso e estrutura de sustentação existente - acesso à escada do sub solo</t>
    </r>
  </si>
  <si>
    <r>
      <rPr>
        <b/>
        <sz val="8"/>
        <rFont val="Arial"/>
        <family val="2"/>
      </rPr>
      <t xml:space="preserve">Demolição de edificações simples de alvenaria </t>
    </r>
    <r>
      <rPr>
        <sz val="8"/>
        <rFont val="Arial"/>
        <family val="2"/>
      </rPr>
      <t>- aos fundos do imóvel</t>
    </r>
  </si>
  <si>
    <r>
      <rPr>
        <b/>
        <sz val="8"/>
        <rFont val="Arial"/>
        <family val="2"/>
      </rPr>
      <t xml:space="preserve">Demolição de piso em concreto simples </t>
    </r>
    <r>
      <rPr>
        <sz val="8"/>
        <rFont val="Arial"/>
        <family val="2"/>
      </rPr>
      <t>- irregularidades existentes no piso do corredor lateral e gola de ventilação - inclui transporte até a caçamba</t>
    </r>
  </si>
  <si>
    <r>
      <rPr>
        <b/>
        <sz val="8"/>
        <rFont val="Arial"/>
        <family val="2"/>
      </rPr>
      <t>Remoção de plataforma metálica suspensa</t>
    </r>
    <r>
      <rPr>
        <sz val="8"/>
        <rFont val="Arial"/>
        <family val="2"/>
      </rPr>
      <t xml:space="preserve">  - inclusive elementos de fixação e suportes - inclui transporte até a caçamba</t>
    </r>
  </si>
  <si>
    <r>
      <rPr>
        <b/>
        <sz val="8"/>
        <rFont val="Arial"/>
        <family val="2"/>
      </rPr>
      <t>Remoção de condutores de águas pluvias</t>
    </r>
    <r>
      <rPr>
        <sz val="8"/>
        <rFont val="Arial"/>
        <family val="2"/>
      </rPr>
      <t xml:space="preserve"> - para posterior reinstalação. </t>
    </r>
  </si>
  <si>
    <r>
      <rPr>
        <b/>
        <sz val="8"/>
        <rFont val="Arial"/>
        <family val="2"/>
      </rPr>
      <t xml:space="preserve">Demolição de caixa de gordura </t>
    </r>
    <r>
      <rPr>
        <sz val="8"/>
        <rFont val="Arial"/>
        <family val="2"/>
      </rPr>
      <t>em concreto simples -inclui transporte até a caçamba</t>
    </r>
  </si>
  <si>
    <r>
      <rPr>
        <b/>
        <sz val="8"/>
        <rFont val="Arial"/>
        <family val="2"/>
      </rPr>
      <t>Desmontagem e remoção de divisórias</t>
    </r>
    <r>
      <rPr>
        <sz val="8"/>
        <rFont val="Arial"/>
        <family val="2"/>
      </rPr>
      <t xml:space="preserve"> em gesso acartonado/naval - inclusive perfis e acessórios de fixação - inclui transporte até a caçamba</t>
    </r>
  </si>
  <si>
    <r>
      <rPr>
        <b/>
        <sz val="8"/>
        <rFont val="Arial"/>
        <family val="2"/>
      </rPr>
      <t xml:space="preserve">Demolição de revestimento de piso  </t>
    </r>
    <r>
      <rPr>
        <sz val="8"/>
        <rFont val="Arial"/>
        <family val="2"/>
      </rPr>
      <t>- incluisve base de assentamento  - inclui transporte até a caçamba</t>
    </r>
  </si>
  <si>
    <r>
      <rPr>
        <b/>
        <sz val="8"/>
        <rFont val="Arial"/>
        <family val="2"/>
      </rPr>
      <t>Demolição de paredes de alvenaria -</t>
    </r>
    <r>
      <rPr>
        <sz val="8"/>
        <rFont val="Arial"/>
        <family val="2"/>
      </rPr>
      <t xml:space="preserve"> paredes divisórias e abertura de vãos para instalação de esquadrias</t>
    </r>
  </si>
  <si>
    <r>
      <rPr>
        <b/>
        <sz val="8"/>
        <rFont val="Arial"/>
        <family val="2"/>
      </rPr>
      <t>Demolição de piso em concreto simples</t>
    </r>
    <r>
      <rPr>
        <sz val="8"/>
        <rFont val="Arial"/>
        <family val="2"/>
      </rPr>
      <t xml:space="preserve"> - irregularidades existentes no piso e piso elevado no interior dos sanitários - inclui transporte até a caçamba</t>
    </r>
  </si>
  <si>
    <r>
      <rPr>
        <b/>
        <sz val="8"/>
        <rFont val="Arial"/>
        <family val="2"/>
      </rPr>
      <t>Remoção de corrimão metálico</t>
    </r>
    <r>
      <rPr>
        <sz val="8"/>
        <rFont val="Arial"/>
        <family val="2"/>
      </rPr>
      <t xml:space="preserve"> - escada</t>
    </r>
  </si>
  <si>
    <r>
      <rPr>
        <b/>
        <sz val="8"/>
        <rFont val="Arial"/>
        <family val="2"/>
      </rPr>
      <t xml:space="preserve">Demolição de revestimento de piso </t>
    </r>
    <r>
      <rPr>
        <sz val="8"/>
        <rFont val="Arial"/>
        <family val="2"/>
      </rPr>
      <t xml:space="preserve"> - incluisve base de assentamento  - inclui transporte até a caçamba</t>
    </r>
  </si>
  <si>
    <r>
      <rPr>
        <b/>
        <sz val="8"/>
        <rFont val="Arial"/>
        <family val="2"/>
      </rPr>
      <t>Demolição de azulejo -</t>
    </r>
    <r>
      <rPr>
        <sz val="8"/>
        <rFont val="Arial"/>
        <family val="2"/>
      </rPr>
      <t xml:space="preserve"> inclusive base de assentamento - inclui carga do entulho até a caçamba</t>
    </r>
  </si>
  <si>
    <r>
      <rPr>
        <b/>
        <sz val="8"/>
        <rFont val="Arial"/>
        <family val="2"/>
      </rPr>
      <t xml:space="preserve">Demolição de piso em concreto simples </t>
    </r>
    <r>
      <rPr>
        <sz val="8"/>
        <rFont val="Arial"/>
        <family val="2"/>
      </rPr>
      <t>- irregularidades existentes no piso e piso elevado no interior dos sanitários - inclui transporte até a caçamba</t>
    </r>
  </si>
  <si>
    <t>3.7</t>
  </si>
  <si>
    <t>3.21</t>
  </si>
  <si>
    <t>3.30</t>
  </si>
  <si>
    <t>3.31</t>
  </si>
  <si>
    <t>3.32</t>
  </si>
  <si>
    <t>3.33</t>
  </si>
  <si>
    <t>3.34</t>
  </si>
  <si>
    <t>3.35</t>
  </si>
  <si>
    <t>3.36</t>
  </si>
  <si>
    <t>5.14</t>
  </si>
  <si>
    <t>5.15</t>
  </si>
  <si>
    <t>5.16</t>
  </si>
  <si>
    <t>6.2</t>
  </si>
  <si>
    <t>6.14</t>
  </si>
  <si>
    <t>6.24</t>
  </si>
  <si>
    <t>6.34</t>
  </si>
  <si>
    <t>6.40</t>
  </si>
  <si>
    <t>6.41</t>
  </si>
  <si>
    <t>6.42</t>
  </si>
  <si>
    <t>6.43</t>
  </si>
  <si>
    <t>6.44</t>
  </si>
  <si>
    <t>7.3</t>
  </si>
  <si>
    <t>7.4</t>
  </si>
  <si>
    <t>7.5</t>
  </si>
  <si>
    <t>7.6</t>
  </si>
  <si>
    <t>10.6</t>
  </si>
  <si>
    <t>10.7</t>
  </si>
  <si>
    <t>10.8</t>
  </si>
  <si>
    <t>10.9</t>
  </si>
  <si>
    <t>11.1</t>
  </si>
  <si>
    <t>11.7</t>
  </si>
  <si>
    <t>12.5</t>
  </si>
  <si>
    <t>12.8</t>
  </si>
  <si>
    <t>12.11</t>
  </si>
  <si>
    <t>14.79</t>
  </si>
  <si>
    <t>14.81</t>
  </si>
  <si>
    <t>14.83</t>
  </si>
  <si>
    <t>14.84</t>
  </si>
  <si>
    <t>14.85</t>
  </si>
  <si>
    <t>14.86</t>
  </si>
  <si>
    <t>15.2</t>
  </si>
  <si>
    <t>16.2</t>
  </si>
  <si>
    <t>17.24</t>
  </si>
  <si>
    <t>18.2</t>
  </si>
  <si>
    <t>18.3</t>
  </si>
  <si>
    <t>18.4</t>
  </si>
  <si>
    <t>18.5</t>
  </si>
  <si>
    <t>18.6</t>
  </si>
  <si>
    <t>18.7</t>
  </si>
  <si>
    <t>18.8</t>
  </si>
  <si>
    <t>18.9</t>
  </si>
  <si>
    <t>18.10</t>
  </si>
  <si>
    <r>
      <rPr>
        <b/>
        <sz val="8"/>
        <rFont val="Arial"/>
        <family val="2"/>
      </rPr>
      <t>PV 180x210</t>
    </r>
    <r>
      <rPr>
        <sz val="8"/>
        <rFont val="Arial"/>
        <family val="2"/>
      </rPr>
      <t xml:space="preserve"> - Porta de vidro temperado incolor, duas folhas de 90 cm, total: 1,80 X 2,10 m, espessura 10mm, inclusive acessórios como molas hidráulicas,puxadores de 30cm cromados, dobradiças,fechadura tipo  gorge , rolete de piso o e trinco.</t>
    </r>
  </si>
  <si>
    <r>
      <rPr>
        <b/>
        <sz val="8"/>
        <rFont val="Arial"/>
        <family val="2"/>
      </rPr>
      <t xml:space="preserve">Remoção </t>
    </r>
    <r>
      <rPr>
        <sz val="8"/>
        <rFont val="Arial"/>
        <family val="2"/>
      </rPr>
      <t>de entulhos diversos - com carga até a caçamba</t>
    </r>
  </si>
  <si>
    <t>72238
adaptado</t>
  </si>
  <si>
    <r>
      <rPr>
        <b/>
        <sz val="8"/>
        <rFont val="Arial"/>
        <family val="2"/>
      </rPr>
      <t xml:space="preserve">Remoção de esquadrias de madeira/ferro  </t>
    </r>
    <r>
      <rPr>
        <sz val="8"/>
        <rFont val="Arial"/>
        <family val="2"/>
      </rPr>
      <t>- inclusive ferragens, contramarcos e vistas - inclui transporte até a caçamba</t>
    </r>
  </si>
  <si>
    <t>composição propria</t>
  </si>
  <si>
    <t>73910/5(adaptada) + 74068/6</t>
  </si>
  <si>
    <t>73910/5 (adaptada) + 74068/6</t>
  </si>
  <si>
    <t xml:space="preserve">73910/5 (adaptada)+ 74068/6 + 02 BARRAS 40CM + RESINADO </t>
  </si>
  <si>
    <t xml:space="preserve">73910/5 (adaptada) + 74068/6 - </t>
  </si>
  <si>
    <t>utilizado duas vezes o valor da composição</t>
  </si>
  <si>
    <r>
      <rPr>
        <b/>
        <sz val="8"/>
        <rFont val="Arial"/>
        <family val="2"/>
      </rPr>
      <t>PV 270x210</t>
    </r>
    <r>
      <rPr>
        <sz val="8"/>
        <rFont val="Arial"/>
        <family val="2"/>
      </rPr>
      <t xml:space="preserve"> - Porta dupla de vidro temperado incolor, duas folhas de 100 cm, e uma bandeira de vidro fixo lateral -  total: 2,70 X 2,10 m, espessura 10mm, inclusive acessórios como molas hidráulicas,puxadores de 30cm cromados, dobradiças,fechadura tipo  gorge , rolete de piso o e trinco.</t>
    </r>
  </si>
  <si>
    <r>
      <rPr>
        <b/>
        <sz val="8"/>
        <rFont val="Arial"/>
        <family val="2"/>
      </rPr>
      <t xml:space="preserve">JA 90x60 </t>
    </r>
    <r>
      <rPr>
        <sz val="8"/>
        <rFont val="Arial"/>
        <family val="2"/>
      </rPr>
      <t>- Janela em vidro temperado, maximo ar com estrutura de alumínio, espessura 10 mm</t>
    </r>
  </si>
  <si>
    <t>19001000018
adaptada</t>
  </si>
  <si>
    <r>
      <rPr>
        <b/>
        <sz val="8"/>
        <rFont val="Arial"/>
        <family val="2"/>
      </rPr>
      <t xml:space="preserve">Porta corta fogo 90X210X4 cm - </t>
    </r>
    <r>
      <rPr>
        <sz val="8"/>
        <rFont val="Arial"/>
        <family val="2"/>
      </rPr>
      <t>de abrir com eixo vertical - REINSTALAR A PORTA REMOVIDA DO PAVIMENTO TÉRREO  - executar pintura de acabamento</t>
    </r>
  </si>
  <si>
    <t>10% do valor da porta + pintura + instalação da porta</t>
  </si>
  <si>
    <t>ESQUADRIA DE MADEIRA E FERRO</t>
  </si>
  <si>
    <t>74071/2 + 11457</t>
  </si>
  <si>
    <t>74071/2 +  74068/6</t>
  </si>
  <si>
    <r>
      <rPr>
        <b/>
        <sz val="8"/>
        <rFont val="Arial"/>
        <family val="2"/>
      </rPr>
      <t>GRADE DE PROTEÇÃO EM FERRO</t>
    </r>
    <r>
      <rPr>
        <sz val="8"/>
        <rFont val="Arial"/>
        <family val="2"/>
      </rPr>
      <t xml:space="preserve">  - a instalar nas janelas do lado direiro do predio no primeiro pavimento - chumbada nas alvenarias - tipo tijolinho - com fundo zarcao e acabamento em esmalte sintético (02 unidades 2,7 x 1,15 - 02 unidade 1,6 x 1,15 - 02 unidades 0,90 x 0,90)</t>
    </r>
  </si>
  <si>
    <t>73932/1 + 73924/2</t>
  </si>
  <si>
    <r>
      <rPr>
        <b/>
        <sz val="8"/>
        <rFont val="Arial"/>
        <family val="2"/>
      </rPr>
      <t>Impermeabilização</t>
    </r>
    <r>
      <rPr>
        <sz val="8"/>
        <rFont val="Arial"/>
        <family val="2"/>
      </rPr>
      <t xml:space="preserve"> de superfície com manta asfáltica, 3mm - inclusive aplicação de emulsão asfáltica.</t>
    </r>
  </si>
  <si>
    <r>
      <rPr>
        <b/>
        <sz val="8"/>
        <rFont val="Arial"/>
        <family val="2"/>
      </rPr>
      <t xml:space="preserve">Execução de camada de proteção mecânica de superfície </t>
    </r>
    <r>
      <rPr>
        <sz val="8"/>
        <rFont val="Arial"/>
        <family val="2"/>
      </rPr>
      <t>- com argamassa de cimento e areia, traço 1:7 cm, e= 3 cm.</t>
    </r>
  </si>
  <si>
    <r>
      <rPr>
        <b/>
        <sz val="8"/>
        <rFont val="Arial"/>
        <family val="2"/>
      </rPr>
      <t>Regularização de base para aplicação de manta asfáltica</t>
    </r>
    <r>
      <rPr>
        <sz val="8"/>
        <rFont val="Arial"/>
        <family val="2"/>
      </rPr>
      <t>, inclusive com execução de chanfros nos cantos vivos  - REGULARIZAÇÃO desempenada de base, com argamassa de cimento e areia peneirada traço 1:4, e=2cm; com emulsão adesiva VIAFIX</t>
    </r>
  </si>
  <si>
    <t>areia média lavada</t>
  </si>
  <si>
    <t>Cimento CP-32</t>
  </si>
  <si>
    <t>Emulsão adesiva a base de resinas sintéticas - VIAFIX</t>
  </si>
  <si>
    <t>m³</t>
  </si>
  <si>
    <t>l</t>
  </si>
  <si>
    <r>
      <rPr>
        <b/>
        <sz val="8"/>
        <rFont val="Arial"/>
        <family val="2"/>
      </rPr>
      <t xml:space="preserve">Chapisco </t>
    </r>
    <r>
      <rPr>
        <sz val="8"/>
        <rFont val="Arial"/>
        <family val="2"/>
      </rPr>
      <t>traço 1:4 (cimento e areia), espessura 0,5cm - REVESTIMENTO DA PAREDE DE ALVENARIA NOVA - PAB</t>
    </r>
  </si>
  <si>
    <r>
      <rPr>
        <b/>
        <sz val="8"/>
        <rFont val="Arial"/>
        <family val="2"/>
      </rPr>
      <t xml:space="preserve">Chapisco </t>
    </r>
    <r>
      <rPr>
        <sz val="8"/>
        <rFont val="Arial"/>
        <family val="2"/>
      </rPr>
      <t>traço 1:4 (cimento e areia), espessura 0,5cm</t>
    </r>
  </si>
  <si>
    <r>
      <rPr>
        <b/>
        <sz val="8"/>
        <rFont val="Arial"/>
        <family val="2"/>
      </rPr>
      <t xml:space="preserve">Chapisco </t>
    </r>
    <r>
      <rPr>
        <sz val="8"/>
        <rFont val="Arial"/>
        <family val="2"/>
      </rPr>
      <t xml:space="preserve">traço 1:4 (cimento e areia), espessura 0,5cm </t>
    </r>
  </si>
  <si>
    <t>Regularização de base para aplicação de piso cerâmico</t>
  </si>
  <si>
    <r>
      <rPr>
        <b/>
        <sz val="8"/>
        <rFont val="Arial"/>
        <family val="2"/>
      </rPr>
      <t>Lastro de Concreto</t>
    </r>
    <r>
      <rPr>
        <sz val="8"/>
        <rFont val="Arial"/>
        <family val="2"/>
      </rPr>
      <t xml:space="preserve">, espessura 3cm - enchimento do piso na saída - porta dupla </t>
    </r>
  </si>
  <si>
    <t>74072/2 + 73739/1</t>
  </si>
  <si>
    <t>composição propria  + 
cotação</t>
  </si>
  <si>
    <t>15142.8.27.1
adaptado</t>
  </si>
  <si>
    <t>PISO VINILICO SEMIFLEXIVEL PADRAO LISO, em manta - epessura 2mm - fixado com cola na escada  do sub solo até o térreo (pisante+espelho+patamar)  - inclusive acabamentos de topo de degraus</t>
  </si>
  <si>
    <t>72185
(adaptada)</t>
  </si>
  <si>
    <t>acrescido 25% do valor para arremates</t>
  </si>
  <si>
    <t>salas técnicas</t>
  </si>
  <si>
    <t>IS fem</t>
  </si>
  <si>
    <t>IS mas</t>
  </si>
  <si>
    <t>pintura parede
h=3,50m</t>
  </si>
  <si>
    <t>azulejo
h=2,20m</t>
  </si>
  <si>
    <t>emassamento
(mesma área pintura)</t>
  </si>
  <si>
    <t>pintura parede
h=2,50m</t>
  </si>
  <si>
    <t>pintura parede
h=2,60m</t>
  </si>
  <si>
    <t>Pto água fria 32mm</t>
  </si>
  <si>
    <t>Pto água fria 25mm</t>
  </si>
  <si>
    <t>Pto esgoto primário
100mm</t>
  </si>
  <si>
    <t>Pto esgoto secundário
50mm</t>
  </si>
  <si>
    <t>FACHADA D - fundos</t>
  </si>
  <si>
    <t>FACHADA A - frente</t>
  </si>
  <si>
    <t>FACHADA B -lateral maior</t>
  </si>
  <si>
    <t>FACHADA C - lateral menor</t>
  </si>
  <si>
    <r>
      <rPr>
        <b/>
        <sz val="8"/>
        <rFont val="Arial"/>
        <family val="2"/>
      </rPr>
      <t>PINTURA ESMALTE ACETINADO EM FERRO</t>
    </r>
    <r>
      <rPr>
        <sz val="8"/>
        <rFont val="Arial"/>
        <family val="2"/>
      </rPr>
      <t>, duas demão, em todas as portas corta fogo e nas portas de enrolar da fachada - inclusive preparo, lixamento e aplicação de fundo</t>
    </r>
  </si>
  <si>
    <r>
      <rPr>
        <b/>
        <sz val="8"/>
        <rFont val="Arial"/>
        <family val="2"/>
      </rPr>
      <t>Cobertura com telha de policarbonato alveolar</t>
    </r>
    <r>
      <rPr>
        <sz val="8"/>
        <rFont val="Arial"/>
        <family val="2"/>
      </rPr>
      <t xml:space="preserve">,  e = 6 mm, 4,50 X 1,25 m translucido e  Metalões industriais galvanizados 30x50mm chapa 1,25mm com pintura da estrutura em esmalte sintético cor a escolher;  acessórios em alumínio; instalado com acessórios de fixação e vedação - </t>
    </r>
    <r>
      <rPr>
        <b/>
        <sz val="8"/>
        <rFont val="Arial"/>
        <family val="2"/>
      </rPr>
      <t>PORTA DOS FUNDOS</t>
    </r>
  </si>
  <si>
    <r>
      <rPr>
        <b/>
        <sz val="8"/>
        <rFont val="Arial"/>
        <family val="2"/>
      </rPr>
      <t>Cobertura com telha de policarbonato alveolar</t>
    </r>
    <r>
      <rPr>
        <sz val="8"/>
        <rFont val="Arial"/>
        <family val="2"/>
      </rPr>
      <t xml:space="preserve">,  e = 6 mm, 4,50 X 1,00 m translucido e  Metalões industriais galvanizados 30x50mm chapa 1,25mm com pintura da estrutura em esmalte sintético cor a escolher;  acessórios em alumínio; instalado com acessórios de fixação e vedação - </t>
    </r>
    <r>
      <rPr>
        <b/>
        <sz val="8"/>
        <rFont val="Arial"/>
        <family val="2"/>
      </rPr>
      <t>PORTAS DUPLAS NA LATERAL</t>
    </r>
  </si>
  <si>
    <t>Comunicação Visual</t>
  </si>
  <si>
    <t>Limpeza da caixa dágua + limpeza final da obra</t>
  </si>
  <si>
    <t>TRIBUNAL REGIONAL DO TRABALHO DA 9ª REGIÃO</t>
  </si>
  <si>
    <t>SECRETARIA DE ENGENHARIA E ARQUITETURA</t>
  </si>
  <si>
    <t>SERVIÇO DE PROJETO E PLANEJAMENTO</t>
  </si>
  <si>
    <t>NOVO FÓRUM DE CORNÉLIO PROCÓPIO</t>
  </si>
  <si>
    <t>BDI</t>
  </si>
  <si>
    <t>AV. XV DE NOVEMBRO, 830 - CORNÉLIO PROCÓPIO - PR</t>
  </si>
  <si>
    <t>BDI EQUIP.</t>
  </si>
  <si>
    <t>Tabela</t>
  </si>
  <si>
    <t>Código</t>
  </si>
  <si>
    <t>Item</t>
  </si>
  <si>
    <t>Descrição do serviço</t>
  </si>
  <si>
    <t>Unid.</t>
  </si>
  <si>
    <t>Coef.</t>
  </si>
  <si>
    <t>Custo Insumo</t>
  </si>
  <si>
    <t>Quant.  Estimadas</t>
  </si>
  <si>
    <t>Valores unitários</t>
  </si>
  <si>
    <t>Valores totais</t>
  </si>
  <si>
    <t>Total c/ BDI</t>
  </si>
  <si>
    <t>Material</t>
  </si>
  <si>
    <t>Mão-de-obra</t>
  </si>
  <si>
    <t>Total</t>
  </si>
  <si>
    <t>19.1</t>
  </si>
  <si>
    <t>SERVIÇOS PRELIMINARES E POSTERIORES</t>
  </si>
  <si>
    <t>19.1.1</t>
  </si>
  <si>
    <t>Serviço de desmontagem e retirada de instalações elétricas, lógicas e telefônicas existentes</t>
  </si>
  <si>
    <t>un</t>
  </si>
  <si>
    <t>Eletricista</t>
  </si>
  <si>
    <t>Auxiliar de eletricista</t>
  </si>
  <si>
    <t>02315.8.1.9</t>
  </si>
  <si>
    <t>19.1.2</t>
  </si>
  <si>
    <t>Escavação manual de vala em solo de 1ª categoria profundidade até 2 m (externo e interno - subsolo)</t>
  </si>
  <si>
    <t>02315.8.7.2</t>
  </si>
  <si>
    <t>19.1.3</t>
  </si>
  <si>
    <t>Reaterro manual de vala (externo e interno - subsolo)</t>
  </si>
  <si>
    <t>02780.8.1.1</t>
  </si>
  <si>
    <t>19.1.4</t>
  </si>
  <si>
    <t>Paver - retirada e reassentamento (área externa - passeio)</t>
  </si>
  <si>
    <t>Calceteiro</t>
  </si>
  <si>
    <t>19.1.5</t>
  </si>
  <si>
    <t>Demolição de concreto com utilização de martelo rompedor pneumático (abertura de valas no subsolo para eletrodutos e aterramento)</t>
  </si>
  <si>
    <t>02220.8.4.1</t>
  </si>
  <si>
    <t>Ponteiro para rompedor Ø 32 mm x 16 cm</t>
  </si>
  <si>
    <t>Compressor de ar, 61 HP 46 kW, capacidade 3,3 m³/min 116 pcm</t>
  </si>
  <si>
    <t>Martelo rompedor, pneumático, capacidade para furos com até 32 mm de diâmetro</t>
  </si>
  <si>
    <t>19.1.6</t>
  </si>
  <si>
    <t>Reconstituição de piso de concreto fck 15 Mpa</t>
  </si>
  <si>
    <t>02752.8.6.1</t>
  </si>
  <si>
    <t>03850.8.3.4</t>
  </si>
  <si>
    <t>19.1.7</t>
  </si>
  <si>
    <t>Corte em concreto de pisos e lajes, com discos diamantados, utilizando cortadora de piso espessura do corte 13 cm (aberturas em laje para prumadas com eletrocalha)</t>
  </si>
  <si>
    <t>19.1.8</t>
  </si>
  <si>
    <t>Serviço de retirada e reinstalação de no-break e banco de baterias existentes no Fórum atual para o novo Fórum</t>
  </si>
  <si>
    <t>19.2</t>
  </si>
  <si>
    <t>ENTRADA DE ENERGIA EM TENSÃO PRIMÁRIA</t>
  </si>
  <si>
    <t>Estrutura externa (poste Copel) e ramal subterrâneo</t>
  </si>
  <si>
    <t>19.2.1</t>
  </si>
  <si>
    <t>Cruzeta de concreto armado 2000x90x90 mm em poste</t>
  </si>
  <si>
    <t>Cruzeta de concreto armado 2000x90x90 mm resistência 250 daN conforme norma Copel NTC 811503</t>
  </si>
  <si>
    <t>Parafuso máquina M16 x 125 mm</t>
  </si>
  <si>
    <t>Parafuso máquina M16 x 200 mm</t>
  </si>
  <si>
    <t>Arruela quadrada 38x38mm Ø18mm esp. 3mm</t>
  </si>
  <si>
    <t>16270.8.3.5</t>
  </si>
  <si>
    <t>Mão francesa plana 619 mm</t>
  </si>
  <si>
    <t>19.2.2</t>
  </si>
  <si>
    <t>Isolador pilar 15 kV em poste</t>
  </si>
  <si>
    <t>Cotação</t>
  </si>
  <si>
    <t>E01</t>
  </si>
  <si>
    <t>Isolador pilar 15 kV conforme norma Copel NTC 811556</t>
  </si>
  <si>
    <t>Pino autotravante</t>
  </si>
  <si>
    <t>19.2.3</t>
  </si>
  <si>
    <t>Mufla terminal 15 kV em poste</t>
  </si>
  <si>
    <t>Mufla terminal 15 kV</t>
  </si>
  <si>
    <t>19.2.4</t>
  </si>
  <si>
    <t>Para-raios polimérico 15 kV / 10 kA em poste</t>
  </si>
  <si>
    <t>Para-raios polimérico 15 kV / 10 kA</t>
  </si>
  <si>
    <t>19.2.5</t>
  </si>
  <si>
    <t>Cabo de cobre isolado 35 mm² - 12/20 kV - XLPE ou EPR</t>
  </si>
  <si>
    <t>Cabo de cobre isolado 35 mm² - 12/20 kV - XLPE</t>
  </si>
  <si>
    <t>19.2.6</t>
  </si>
  <si>
    <t>Braçadeira para fixação de cabos de média tensão em poste</t>
  </si>
  <si>
    <t>Braçadeira para fixação de cabos de média tensão em poste Copel NTC 811742</t>
  </si>
  <si>
    <t>19.2.7</t>
  </si>
  <si>
    <t>Eletroduto aço galvanizado à fogo Ø100mm (4")</t>
  </si>
  <si>
    <t>16131.8.3.9</t>
  </si>
  <si>
    <t>Eletroduto aço galvanizado à fogo Ø100mm (4") conforme norma Copel NTC 813735 (inclui para aplicação na cabina)</t>
  </si>
  <si>
    <t>19.2.8</t>
  </si>
  <si>
    <t>Curva para eletroduto de aço galvanizado Ø100mm (4")  (inclui para aplicação na cabina)</t>
  </si>
  <si>
    <t>16131.8.2.18</t>
  </si>
  <si>
    <t xml:space="preserve">Curva para eletroduto de aço galvanizado Ø100mm (4") </t>
  </si>
  <si>
    <t>19.2.9</t>
  </si>
  <si>
    <t>Luva para eletroduto de aço galvanizado Ø100mm (4") (inclusi para aplicação na cabina)</t>
  </si>
  <si>
    <t>16131.8.5.9</t>
  </si>
  <si>
    <t>19.2.10</t>
  </si>
  <si>
    <t>Fita de aço inoxidável 6mm - rolo 30 m com fechos</t>
  </si>
  <si>
    <t>E02</t>
  </si>
  <si>
    <t>19.2.11</t>
  </si>
  <si>
    <t>Caixa de passagem 80x80x80 cm de alvenaria ou concreto armado com tampa de ferro fundido e subtampa lacrável</t>
  </si>
  <si>
    <t>Caixa de passagem de concreto armado ou alvenaria 80x80x80 cm (dimensões internas), espessura mínima das paredes de 15 cm, construída de acordo com a norma Copel NTC 903100 item 7.12</t>
  </si>
  <si>
    <t>E40</t>
  </si>
  <si>
    <t>Tampa de ferro fundido 80x80 cm, com cinta e subtampa com dispositivo para lacre, com inscrições em relevo "COPEL" e "ALTA TENSÃO", de acordo com a norma Copel NTC 903100, item 7.12</t>
  </si>
  <si>
    <t>19.2.12</t>
  </si>
  <si>
    <t>Cabo de cobre nu 25 mm²</t>
  </si>
  <si>
    <t>19.2.13</t>
  </si>
  <si>
    <t>Haste de aterramento cobreada de alta camada 5/8" x 2,4m</t>
  </si>
  <si>
    <t>E03</t>
  </si>
  <si>
    <t>Conector GAR haste-cabo zincado</t>
  </si>
  <si>
    <t>19.2.14</t>
  </si>
  <si>
    <t>Eletroduto PEAD Ø100mm (4")</t>
  </si>
  <si>
    <t>16973.8.1.4</t>
  </si>
  <si>
    <t>Eletroduto PEAD Ø100mm (4") ref. Kanaflex ou similar</t>
  </si>
  <si>
    <t>E04</t>
  </si>
  <si>
    <t>Fita de alerta conforme Copel NTC 814920 - rolo 300 m</t>
  </si>
  <si>
    <t>E05</t>
  </si>
  <si>
    <t>Bloco de concreto armado 60x30x5 cm</t>
  </si>
  <si>
    <t>Cabina de alvenaria</t>
  </si>
  <si>
    <t>19.2.15</t>
  </si>
  <si>
    <t>Porta metálica de folha dupla lisa 1,40 m x 2,10 com trinco e fechadura, com fixação de placa de alerta, abertura para fora</t>
  </si>
  <si>
    <t>08110.8.3.1</t>
  </si>
  <si>
    <t>Porta metálica de folha dupla lisa 1,40 m x 2,10 com trinco e fechadura, abertura para fora</t>
  </si>
  <si>
    <t>Aplicação de fundo preparador uma demão</t>
  </si>
  <si>
    <t>73924/2</t>
  </si>
  <si>
    <t>Pintura em esmalte sintético na cor branca ou palha - duas demãos</t>
  </si>
  <si>
    <t>19.2.16</t>
  </si>
  <si>
    <t>Batente para porta metálica</t>
  </si>
  <si>
    <t>08110.8.1.1</t>
  </si>
  <si>
    <t>19.2.17</t>
  </si>
  <si>
    <t>Alambrado em tubos de aço galvanizado 1,60m x 2,10m, com fixação de placa de alerta</t>
  </si>
  <si>
    <t>73787/1</t>
  </si>
  <si>
    <t>Alambrado em tubos de aço galvanizado, com costura, DIN 2440, diâmetro 2", 1,60m x 2,10m, com tela de arame galvanizado malha máxima de 20 mm com dispositivo para lacre da Copel e conector para aterrramento.</t>
  </si>
  <si>
    <t>19.2.18</t>
  </si>
  <si>
    <t>Veneziana metálica fixa 80x80 cm com grade conforme norma Copel NTC 903100 item 7.32 (2 unidades)</t>
  </si>
  <si>
    <t>Veneziana metálica fixa 80x80 cm</t>
  </si>
  <si>
    <t>Tela de arame galvanizado</t>
  </si>
  <si>
    <t>E58</t>
  </si>
  <si>
    <t>19.2.19</t>
  </si>
  <si>
    <t>Placa de alerta com os dizeres "Perigo de morte" e "Alta tensão" fixada no lado externo da porta em plástico rígido 35x25 cm (esp. 2 mm) ou similar</t>
  </si>
  <si>
    <t>E07</t>
  </si>
  <si>
    <t>19.2.20</t>
  </si>
  <si>
    <t>Transformador trifásico 150 kVA, 13,2 kV - 220/127 V, núcleo seco</t>
  </si>
  <si>
    <t>Transformador trifásico 150 kVA, 13,2 kV - 220/127 V, núcleo seco, ligação delta-estrela c/ neutro, perdas máximas (vazio/totais) 454W / 2335W, com relé de temperatura para acionamento da ventilação da cabina, homologado pela Copel, de acordo com norma NTC 811083 (ref. Romagnole ou similar)</t>
  </si>
  <si>
    <t>Locação de caminhão munck para descarga de transformador na obra</t>
  </si>
  <si>
    <t>19.2.21</t>
  </si>
  <si>
    <t>Caixa de passagem de concreto armado ou alvenaria 80x80x80 cm (dimensões internas), espessura mínima das paredes de 15 cm</t>
  </si>
  <si>
    <t>19.2.22</t>
  </si>
  <si>
    <t>Exaustor axial 20 m³/min, monofásico 127 V</t>
  </si>
  <si>
    <t>E06</t>
  </si>
  <si>
    <t>Exaustor axial 20 m³/min, monofásico 127 V, ruído máximo 63 dBA, diâmetro máximo 30 cm</t>
  </si>
  <si>
    <t>19.2.23</t>
  </si>
  <si>
    <t>Suporte metálico para muflas e para-raios</t>
  </si>
  <si>
    <t>E37</t>
  </si>
  <si>
    <t>Suporte metálico para muflas e para-raios conforme NTC 903100 (item 7.9)</t>
  </si>
  <si>
    <t>19.2.24</t>
  </si>
  <si>
    <t>19.2.25</t>
  </si>
  <si>
    <t>19.2.26</t>
  </si>
  <si>
    <t>Vergalhão de cobre 1/4"</t>
  </si>
  <si>
    <t>19.2.27</t>
  </si>
  <si>
    <t>Suporte metálico para sustentação dos eletrodutos do ramal de baixa-tensão</t>
  </si>
  <si>
    <t>Estimado</t>
  </si>
  <si>
    <t>Suporte metálico fabricado com cantoneiras ou perfilado para sustentação dos eletrodutos do ramal de baixa-tensão, inclui fixação no piso</t>
  </si>
  <si>
    <t>19.2.28</t>
  </si>
  <si>
    <t>Eletroduto de PVC rígido Ø85mm (3") incluindo conexões</t>
  </si>
  <si>
    <t>16132.8.2.8</t>
  </si>
  <si>
    <t>19.2.29</t>
  </si>
  <si>
    <t>Cabo de cobre flexível seção 50,0 mm²,  não halogenado, isolação 0,6/1 kV (alimentador)</t>
  </si>
  <si>
    <t xml:space="preserve"> </t>
  </si>
  <si>
    <t>16120.8.15.27</t>
  </si>
  <si>
    <t>Cabo de cobre flexível seção 50,0 mm²,  isolamento à base de composto termoplástico poliolefínico não halogenado, isolação 0,6/1 kV, conforme NBR 13248 (ref. Conduspar Toxfree, Prysmiam Afumex Plus ou similar)</t>
  </si>
  <si>
    <t>Fita autofusão em rolos 19mm x 10m</t>
  </si>
  <si>
    <t>19.2.30</t>
  </si>
  <si>
    <t>Cabo de cobre flexível seção 95,0 mm²,  não halogenado, isolação 0,6/1 kV (alimentador)</t>
  </si>
  <si>
    <t>16120.8.15.29</t>
  </si>
  <si>
    <t>Cabo de cobre flexível seção 95,0 mm²,  isolamento à base de composto termoplástico poliolefínico não halogenado, isolação 0,6/1 kV, conforme NBR 13248 (ref. Conduspar Toxfree, Prysmiam Afumex Plus ou similar)</t>
  </si>
  <si>
    <t>Medição</t>
  </si>
  <si>
    <t>19.2.31</t>
  </si>
  <si>
    <t>Caixa para medidor padrão Copel EN</t>
  </si>
  <si>
    <t>E08</t>
  </si>
  <si>
    <t>19.2.32</t>
  </si>
  <si>
    <t>Caixa para transformadores de corrente padrão Copel FN</t>
  </si>
  <si>
    <t>19.2.33</t>
  </si>
  <si>
    <t>Caixa para disjuntor Copel NS 500x800x260mm (LxAxP)</t>
  </si>
  <si>
    <t>19.2.34</t>
  </si>
  <si>
    <t>Eletroduto de PVC rígido roscável,inclusive conexões ø32 mm (1")</t>
  </si>
  <si>
    <t xml:space="preserve">TCPO </t>
  </si>
  <si>
    <t>16132.8.2.3</t>
  </si>
  <si>
    <t>Eletroduto de PVC rígido roscável Ø32 mm (1")</t>
  </si>
  <si>
    <t>19.2.35</t>
  </si>
  <si>
    <t>Aterramento</t>
  </si>
  <si>
    <t>19.2.36</t>
  </si>
  <si>
    <t>19.2.37</t>
  </si>
  <si>
    <t>Cordoalha de cobre nu 50 mm²</t>
  </si>
  <si>
    <t>19.2.38</t>
  </si>
  <si>
    <t>19.2.39</t>
  </si>
  <si>
    <t>Eletroduto de PVC rígido roscável,inclusive conexões ø40 mm (1.1/4")</t>
  </si>
  <si>
    <t>16132.8.2.4</t>
  </si>
  <si>
    <t>Eletroduto de PVC rígido roscável Ø40 mm (1.1/4")</t>
  </si>
  <si>
    <t>19.2.40</t>
  </si>
  <si>
    <t>Caixa de inspeção de aterramento de PVC Ø300x300 mm com tampa reforçada de ferro fundido com escotilha</t>
  </si>
  <si>
    <t>Caixa de inspeção de aterramento de PVC Ø300x300 mm com tampa reforçada de ferro fundido com escotilha (ref. Termotécnica TEL 552/536, Montal MON 713/718)</t>
  </si>
  <si>
    <t>19.2.41</t>
  </si>
  <si>
    <t>19.2.42</t>
  </si>
  <si>
    <t>Caixa de equalização de aterramento (BEP)</t>
  </si>
  <si>
    <t>Caixa de sobrepor 40x40x20 cm com barramento de cobre perfurado de equipotencialização de dimensões 1.1/2"x3/16"x250mm</t>
  </si>
  <si>
    <t>Bucha de nylon com parafuso S-8 para alvenaria</t>
  </si>
  <si>
    <t>19.3</t>
  </si>
  <si>
    <t>INFRAESTRUTURA</t>
  </si>
  <si>
    <t>Caixas de passagem e eletrodutos</t>
  </si>
  <si>
    <t>19.3.1</t>
  </si>
  <si>
    <t>Caixa de ligação estampada em chapa de aço, retangular, dimensões 4x2"</t>
  </si>
  <si>
    <t>16136.8.3.1</t>
  </si>
  <si>
    <t>19.3.2</t>
  </si>
  <si>
    <t>Caixa de passagem plástica 4x2" para embutir em gesso acartonado (drywall)</t>
  </si>
  <si>
    <t>E57</t>
  </si>
  <si>
    <t>19.3.3</t>
  </si>
  <si>
    <t>Caixa de ligação estampada em chapa de aço, retangular, dimensões 4x4"</t>
  </si>
  <si>
    <t>16136.8.3.2</t>
  </si>
  <si>
    <t>19.3.4</t>
  </si>
  <si>
    <t>Caixa de passagem plástica 4x4" para embutir em gesso acartonado (drywall)</t>
  </si>
  <si>
    <t>19.3.5</t>
  </si>
  <si>
    <t>Caixa de passagem em chapa de aço com tampa parafusada, dimensões 152 x 152 x 82 mm</t>
  </si>
  <si>
    <t>16136.8.2.2</t>
  </si>
  <si>
    <t>19.3.6</t>
  </si>
  <si>
    <t>Condulete em liga de alumínio fundido tipo "E" Ø 1"</t>
  </si>
  <si>
    <t>16135.8.1.11</t>
  </si>
  <si>
    <t>19.3.7</t>
  </si>
  <si>
    <t>Condulete em liga de alumínio fundido tipo "C" Ø 1"</t>
  </si>
  <si>
    <t>16135.8.1.2</t>
  </si>
  <si>
    <t>19.3.8</t>
  </si>
  <si>
    <t>Condulete em liga de alumínio fundido tipo "L" Ø 1"</t>
  </si>
  <si>
    <t>16135.8.1.38</t>
  </si>
  <si>
    <t>19.3.9</t>
  </si>
  <si>
    <t>Condulete em liga de alumínio fundido tipo "LB" Ø 1"</t>
  </si>
  <si>
    <t>19.3.10</t>
  </si>
  <si>
    <t>Condulete em liga de alumínio fundido tipo "T" Ø 1"</t>
  </si>
  <si>
    <t>16135.8.1.29</t>
  </si>
  <si>
    <t>19.3.11</t>
  </si>
  <si>
    <t>Condulete em liga de alumínio fundido tipo "E" Ø 2"</t>
  </si>
  <si>
    <t>19.3.12</t>
  </si>
  <si>
    <t>Condulete em liga de alumínio fundido tipo "L" Ø 2"</t>
  </si>
  <si>
    <t>19.3.13</t>
  </si>
  <si>
    <t>Eletroduto de PVC flexível corrugado Ø 1"</t>
  </si>
  <si>
    <t>19.3.14</t>
  </si>
  <si>
    <t>19.3.15</t>
  </si>
  <si>
    <t>Eletroduto de PVC rígido roscável,inclusive conexões ø60 mm (2")</t>
  </si>
  <si>
    <t>16132.8.2.6</t>
  </si>
  <si>
    <t>Eletroduto de PVC rígido roscável Ø60 mm (2")</t>
  </si>
  <si>
    <t>Eletrocalhas, perfilados e acessórios</t>
  </si>
  <si>
    <t>Eletrocalha #200x50 perfurada com tampa e septo divisor</t>
  </si>
  <si>
    <t>E38</t>
  </si>
  <si>
    <t>Eletrocalha perfurada #200x50mm tipo U chapa 18 AWG com tampa de encaixe chapa 22 AWG, com septo divisor, pré-zincada à fogo. Fixação por tirantes a cada 1,5 m</t>
  </si>
  <si>
    <t>Junta telescópica #200x50 mm chapa 18 AWG</t>
  </si>
  <si>
    <t>Suporte suspensão #200x50 mm</t>
  </si>
  <si>
    <t>Peça ômega (cantoneira ZZ) #38x38 mm</t>
  </si>
  <si>
    <t>E39</t>
  </si>
  <si>
    <t>Vergalhão rosca total 1/4"</t>
  </si>
  <si>
    <t>Saída para eletroduto Ø1"</t>
  </si>
  <si>
    <t>Parafuso com bucha de nylon S8</t>
  </si>
  <si>
    <t>Parafuso cabeça lentilha autotravante 1/4"x5/8"</t>
  </si>
  <si>
    <t>Porca sextavada 1/4"</t>
  </si>
  <si>
    <t>Arruela lisa 1/4"</t>
  </si>
  <si>
    <t>Eletrocalha #200x50 lisa com virola e tampa de pressão (sem septo divisor) fixação em alvenaria - descidas para quadros e prumadas</t>
  </si>
  <si>
    <t>Eletrocalha perfurada #200x50mm tipo C chapa 18 AWG com tampa de pressão chapa 22 AWG, pré-zincada à fogo. Fixação em alvenaria para descidas</t>
  </si>
  <si>
    <t>Pintura em esmalte sintético na cor palha - duas demãos</t>
  </si>
  <si>
    <t>19.3.16</t>
  </si>
  <si>
    <t>Eletrocalha #200x100 perfurada com tampa</t>
  </si>
  <si>
    <t>Eletrocalha perfurada #200x100mm tipo U chapa 18 AWG com tampa de encaixe chapa 22 AWG, pré-zincada à fogo. Fixação por tirantes a cada 1,5 m</t>
  </si>
  <si>
    <t>Junta telescópica #200x100 mm chapa 18 AWG</t>
  </si>
  <si>
    <t>Suporte suspensão #200x100 mm</t>
  </si>
  <si>
    <t>19.3.17</t>
  </si>
  <si>
    <t>Eletrocalha #200x100 lisa com virola e tampa de pressão (sem septo divisor) fixação em alvenaria - descidas para quadros e prumadas</t>
  </si>
  <si>
    <t>Eletrocalha perfurada #200x100mm tipo C chapa 18 AWG com tampa de pressão chapa 22 AWG, pré-zincada à fogo. Fixação em alvenaria para descidas</t>
  </si>
  <si>
    <t>19.3.18</t>
  </si>
  <si>
    <t>Perfilado #38x38</t>
  </si>
  <si>
    <t>Perfilado #38x38, pré-zincado à fogo, chapa 18 AWG com tampa de pressão chapa 22 AWG. Fixação por tirantes a cada 2,0 m</t>
  </si>
  <si>
    <t>Junta reta interna #38x38</t>
  </si>
  <si>
    <t>Suporte curto para perfilado</t>
  </si>
  <si>
    <t>19.3.19</t>
  </si>
  <si>
    <t>Redução #200x100 para #200x50 com tampa</t>
  </si>
  <si>
    <t>Redução #200x100 para #200x50, perfurada, pré-zincada à fogo, chapa 18 AWG, com tampa chapa 22 AWG</t>
  </si>
  <si>
    <t>19.3.20</t>
  </si>
  <si>
    <t>Tê horizontal 90º #200x100 com tampa</t>
  </si>
  <si>
    <t>Tê horizontal 90º #200x100, perfurado, pré-zincada à fogo, chapa 18 AWG, com tampa chapa 22 AWG</t>
  </si>
  <si>
    <t>19.3.21</t>
  </si>
  <si>
    <t>Tê horizontal 90º #200x50 com tampa</t>
  </si>
  <si>
    <t>Tê horizontal 90º #200x50, perfurado, pré-zincada à fogo, chapa 18 AWG, com tampa chapa 22 AWG</t>
  </si>
  <si>
    <t>19.3.22</t>
  </si>
  <si>
    <t>Curva horizontal 90º #200x50 com tampa</t>
  </si>
  <si>
    <t>Curva horizontal 90º #200x50, perfurada, pré-zincada à fogo, chapa 18 AWG, com tampa chapa 22 AWG</t>
  </si>
  <si>
    <t>19.3.23</t>
  </si>
  <si>
    <t>Curva horizontal 90º #200x100 com tampa</t>
  </si>
  <si>
    <t>Curva horizontal 90º #200x100, perfurada, pré-zincada à fogo, chapa 18 AWG, com tampa chapa 22 AWG</t>
  </si>
  <si>
    <t>19.3.24</t>
  </si>
  <si>
    <t>Cruzeta horizontal 90º #200x50 com tampa</t>
  </si>
  <si>
    <t>Cruzeta horizontal 90º #200x50, perfurada, pré-zincada à fogo, chapa 18 AWG, com tampa chapa 22 AWG</t>
  </si>
  <si>
    <t>19.3.25</t>
  </si>
  <si>
    <t>Cruzeta horizontal 90º #200x100 com tampa</t>
  </si>
  <si>
    <t>Cruzeta horizontal 90º #200x100, perfurada, pré-zincada à fogo, chapa 18 AWG, com tampa chapa 22 AWG</t>
  </si>
  <si>
    <t>19.3.26</t>
  </si>
  <si>
    <t>Terminal #200x50</t>
  </si>
  <si>
    <t>Terminal #200x50 liso pré-zincado à fogo, chapa 18 AWG</t>
  </si>
  <si>
    <t>19.3.27</t>
  </si>
  <si>
    <t>Tê vertical descida #200x100 com tampa</t>
  </si>
  <si>
    <t>Tê vertical descida #200x100, perfurado, pré-zincado à fogo, chapa 18 AWG, com tampa chapa 22 AWG</t>
  </si>
  <si>
    <t>19.3.28</t>
  </si>
  <si>
    <t>Curva de inversão #200x50 com tampa</t>
  </si>
  <si>
    <t>Curva de inversão #200x50, perfurada, pré-zincada à fogo, chapa 18 AWG, com tampa chapa 22 AWG</t>
  </si>
  <si>
    <t>19.3.29</t>
  </si>
  <si>
    <t>Curva de inversão #200x100 com tampa</t>
  </si>
  <si>
    <t>Curva de inversão #200x100, perfurada, pré-zincada à fogo, chapa 18 AWG, com tampa chapa 22 AWG</t>
  </si>
  <si>
    <t>19.4</t>
  </si>
  <si>
    <t>19.4.1</t>
  </si>
  <si>
    <t>Cabo de cobre flexível seção 2,5 mm²,  não halogenado, isolação 750 V</t>
  </si>
  <si>
    <t>16120.8.16.2</t>
  </si>
  <si>
    <t>Cabo de cobre flexível seção 2,5 mm²,  isolamento à base de composto termoplástico poliolefínico não halogenado, isolação 750 V, conforme NBR 13248 (ref. Conduspar Toxfree, Prysmiam Afumex Plus ou similar)</t>
  </si>
  <si>
    <t>Fita isolante adesiva antichama em rolos 19mm x 5m</t>
  </si>
  <si>
    <t>19.4.2</t>
  </si>
  <si>
    <t>Cabo de cobre flexível seção 6,0 mm²,  não halogenado, isolação 750 V</t>
  </si>
  <si>
    <t>16120.8.16.4</t>
  </si>
  <si>
    <t>Cabo de cobre flexível seção 6,0 mm²,  isolamento à base de composto termoplástico poliolefínico não halogenado, isolação 750 V, conforme NBR 13248 (ref. Conduspar Toxfree, Prysmiam Afumex Plus ou similar)</t>
  </si>
  <si>
    <t>19.4.3</t>
  </si>
  <si>
    <t>Cabo de cobre flexível seção 10,0 mm²,  não halogenado, isolação 750 V</t>
  </si>
  <si>
    <t>16120.8.15.23</t>
  </si>
  <si>
    <t>Cabo de cobre flexível seção 10,0 mm²,  isolamento à base de composto termoplástico poliolefínico não halogenado, isolação 750 V, conforme NBR 13248 (ref. Conduspar Toxfree, Prysmiam Afumex Plus ou similar)</t>
  </si>
  <si>
    <t>19.4.4</t>
  </si>
  <si>
    <t>Cabo de cobre flexível seção 16,0 mm²,  não halogenado, isolação 750 V</t>
  </si>
  <si>
    <t>16120.8.15.24</t>
  </si>
  <si>
    <t>Cabo de cobre flexível seção 16,0 mm²,  isolamento à base de composto termoplástico poliolefínico não halogenado, isolação 750 V, conforme NBR 13248 (ref. Conduspar Toxfree, Prysmiam Afumex Plus ou similar)</t>
  </si>
  <si>
    <t>19.4.5</t>
  </si>
  <si>
    <t>Cabo de cobre flexível seção 25,0 mm²,  não halogenado, isolação 750 V</t>
  </si>
  <si>
    <t>16120.8.15.25</t>
  </si>
  <si>
    <t>Cabo de cobre flexível seção 25,0 mm²,  isolamento à base de composto termoplástico poliolefínico não halogenado, isolação 750 V, conforme NBR 13248 (ref. Conduspar Toxfree, Prysmiam Afumex Plus ou similar)</t>
  </si>
  <si>
    <t>19.4.6</t>
  </si>
  <si>
    <t>Cabo de cobre flexível seção 6,0 mm²,  não halogenado, isolação 0,6/1 kV (alimentador)</t>
  </si>
  <si>
    <t>16120.8.15.22</t>
  </si>
  <si>
    <t>Cabo de cobre flexível seção 6,0 mm²,  isolamento à base de composto termoplástico poliolefínico não halogenado, isolação 0,6/1 kV, conforme NBR 13248 (ref. Conduspar Toxfree, Prysmiam Afumex Plus ou similar)</t>
  </si>
  <si>
    <t>19.4.7</t>
  </si>
  <si>
    <t>Cabo de cobre flexível seção 10,0 mm²,  não halogenado, isolação 0,6/1 kV (alimentador)</t>
  </si>
  <si>
    <t>Cabo de cobre flexível seção 10,0 mm²,  isolamento à base de composto termoplástico poliolefínico não halogenado, isolação 0,6/1 kV, conforme NBR 13248 (ref. Conduspar Toxfree, Prysmiam Afumex Plus ou similar)</t>
  </si>
  <si>
    <t>19.4.8</t>
  </si>
  <si>
    <t>Cabo de cobre flexível seção 16,0 mm²,  não halogenado, isolação 0,6/1 kV (alimentador)</t>
  </si>
  <si>
    <t>Cabo de cobre flexível seção 16,0 mm²,  isolamento à base de composto termoplástico poliolefínico não halogenado, isolação 0,6/1 kV, conforme NBR 13248 (ref. Conduspar Toxfree, Prysmiam Afumex Plus ou similar)</t>
  </si>
  <si>
    <t>19.4.9</t>
  </si>
  <si>
    <t>Cabo de cobre flexível seção 25,0 mm²,  não halogenado, isolação 0,6/1 kV (alimentador). Inclui interligação QDEG com no-break</t>
  </si>
  <si>
    <t>Cabo de cobre flexível seção 35,0 mm²,  isolamento à base de composto termoplástico poliolefínico não halogenado, isolação 0,6/1 kV, conforme NBR 13248 (ref. Conduspar Toxfree, Prysmiam Afumex Plus ou similar)</t>
  </si>
  <si>
    <t>19.4.10</t>
  </si>
  <si>
    <t>Cabo de cobre flexível seção 35,0 mm²,  não halogenado, isolação 0,6/1 kV (alimentador)</t>
  </si>
  <si>
    <t>16120.8.15.26</t>
  </si>
  <si>
    <t>19.4.11</t>
  </si>
  <si>
    <t>19.4.12</t>
  </si>
  <si>
    <t>19.5</t>
  </si>
  <si>
    <t>INTERRUPTORES, TOMADAS E DISPOSITIVOS</t>
  </si>
  <si>
    <t>Interruptores e tomadas</t>
  </si>
  <si>
    <t>19.5.1</t>
  </si>
  <si>
    <t>Interruptor simples de uma tecla 4x2"</t>
  </si>
  <si>
    <t>E52</t>
  </si>
  <si>
    <t>Interruptor simples de uma tecla com suporte e espelho na cor branca, de embutir 4x2", 10A, 250V (ref. Pial Legrand Pialplus, Enerbras Reale, Iriel Talari, Siemens Ilus ou similar)</t>
  </si>
  <si>
    <t>19.5.2</t>
  </si>
  <si>
    <t>Conjunto interruptores duas teclas simples 4x2"</t>
  </si>
  <si>
    <t>Conjunto duas teclas simples de embutir 4x2" com suporte e espelho na cor branca, 10A, 250V (ref. Pial Legrand Pialplus, Enerbras Reale, Iriel Talari, Siemens Ilus ou similar)</t>
  </si>
  <si>
    <t>19.5.3</t>
  </si>
  <si>
    <t>Interruptor paralelo de uma tecla 4x2"</t>
  </si>
  <si>
    <t>Interruptor paralelo de uma tecla com suporte e espelho na cor branca, de embutir 4x2", 10A, 250V (ref. Pial Legrand Pialplus, Enerbras Reale, Iriel Talari, Siemens Ilus ou similar)</t>
  </si>
  <si>
    <t>19.5.4</t>
  </si>
  <si>
    <t>Conjunto interruptores duas teclas paralelas 4x4"</t>
  </si>
  <si>
    <t>Conjunto duas teclas paralelas de embutir 4x4" com suporte e espelho na cor branca, 10A, 250V (ref. Pial Legrand Pialplus, Enerbras Reale, Iriel Talari, Siemens Ilus ou similar)</t>
  </si>
  <si>
    <t>19.5.5</t>
  </si>
  <si>
    <t>Conjunto interruptores três teclas paralelas 4x4"</t>
  </si>
  <si>
    <t>19.5.6</t>
  </si>
  <si>
    <t>Tomada 2P+T (NBR 14136), 20 A,  de embutir 4x2" (miolo branco)</t>
  </si>
  <si>
    <t>Tomada 2P+T (NBR 14136), de embutir 4x2" com suporte e espelho na cor branca, 20A, 250V - miolo branco (ref. Pial Legrand Pialplus, Enerbras Reale, Iriel Talari, Siemens Ilus ou similar)</t>
  </si>
  <si>
    <t>19.5.7</t>
  </si>
  <si>
    <t>Tomada 2P+T (NBR 14136), 20 A,  de embutir 4x2" (miolo vermelho)</t>
  </si>
  <si>
    <t>19.5.8</t>
  </si>
  <si>
    <t>Conjunto duas tomadas 2P+T (NBR 14136), 20 A,  de embutir 4x2" (miolo branco)</t>
  </si>
  <si>
    <t>Conjunto duas tomadas 2P+T (NBR 14136), de embutir 4x2" com suporte e espelho na cor branca, 20A, 250V - miolo branco (ref. Pial Legrand Pialplus, Enerbras Reale, Iriel Talari, Siemens Ilus ou similar)</t>
  </si>
  <si>
    <t>19.5.9</t>
  </si>
  <si>
    <t>Conjunto duas tomadas 2P+T (NBR 14136), 20 A,  de embutir 4x2" (miolo vermelho)</t>
  </si>
  <si>
    <t>Conjunto duas tomadas 2P+T (NBR 14136), de embutir 4x2" com suporte e espelho na cor branca, 20A, 250V - miolo vermelho (ref. Pial Legrand Pialplus, Enerbras Reale, Iriel Talari, Siemens Ilus ou similar)</t>
  </si>
  <si>
    <t>19.5.10</t>
  </si>
  <si>
    <t>Conjunto três tomadas 2P+T (NBR 14136), 20 A,  de embutir 4x4" (miolo vermelho)</t>
  </si>
  <si>
    <t>Conjunto três tomadas 2P+T (NBR 14136), de embutir 4x4" com suporte e espelho na cor branca, 20A, 250V - miolo vermelho (ref. Pial Legrand Pialplus, Enerbras Reale, Iriel Talari, Siemens Ilus ou similar)</t>
  </si>
  <si>
    <t>19.5.11</t>
  </si>
  <si>
    <t>Conjunto quatro tomadas 2P+T (NBR 14136), 20 A,  de embutir 4x4" (miolo branco)</t>
  </si>
  <si>
    <t>Conjunto quatro tomadas 2P+T (NBR 14136), de embutir 4x4" com suporte e espelho na cor branca, 20A, 250V - miolo branco (ref. Pial Legrand Pialplus, Enerbras Reale, Iriel Talari, Siemens Ilus ou similar)</t>
  </si>
  <si>
    <t>19.5.12</t>
  </si>
  <si>
    <t>Conjunto interruptor simples de uma tecla e tomada 20A (miolo branco) - 4x2"</t>
  </si>
  <si>
    <t>Conjunto interruptor simples de uma tecla com suporte e espelho na cor branca, de embutir 4x2", 10A, 250V e tomada 2P+T, 20 A (NBR 14136) miolo branco (ref. Pial Legrand Pialplus, Enerbras Reale, Iriel Talari, Siemens Ilus ou similar)</t>
  </si>
  <si>
    <t>19.5.13</t>
  </si>
  <si>
    <t>Tomada 2P+T (NBR 14136), 20 A,  de embutir em condulete (miolo branco ou preto)</t>
  </si>
  <si>
    <t>Tomada 2P+T (NBR 14136), com suporte e espelho, 20A, 250V - miolo branco ou preto para condulete</t>
  </si>
  <si>
    <t>19.5.14</t>
  </si>
  <si>
    <t>Tomada 2P+T (NBR 14136), 20 A,  de embutir em condulete (miolo vermelho)</t>
  </si>
  <si>
    <t>Tomada 2P+T (NBR 14136), com suporte e espelho, 20A, 250V - miolo vermelho para condulete</t>
  </si>
  <si>
    <t>19.5.15</t>
  </si>
  <si>
    <t>Conjunto duas tomadas 2P+T (NBR 14136), 20 A,  de embutir em condulete (miolo branco)</t>
  </si>
  <si>
    <t>Conjunto duas tomadas 2P+T (NBR 14136), com suporte e espelho, 20A, 250V - miolo branco ou preto para condulete</t>
  </si>
  <si>
    <t>19.5.16</t>
  </si>
  <si>
    <t>Conjunto duas tomadas 2P+T (NBR 14136), 20 A,  de embutir em condulete (miolo vermelho)</t>
  </si>
  <si>
    <t>Conjunto duas tomadas 2P+T (NBR 14136), com suporte e espelho, 20A, 250V - miolo vermelho para condulete</t>
  </si>
  <si>
    <t>19.5.17</t>
  </si>
  <si>
    <t>Placa (espelho) cega para caixa 4x2"</t>
  </si>
  <si>
    <t>Placa (espelho) cega para caixa 4x2" (ref. Pial Legrand Pialplus, Enerbras Reale, Iriel Talari, Siemens Ilus ou similar)</t>
  </si>
  <si>
    <t>Dispositivos</t>
  </si>
  <si>
    <t>19.5.18</t>
  </si>
  <si>
    <t>Renovador de ar de capacidade mínima 150 m³/h, 127 V (ref. Ventidis Aquarela M150 ou similar)</t>
  </si>
  <si>
    <t>Renovador de ar de capacidade mínima 150 m³/h, 127 V. Potência sonora máxima a 1,0 metro de 60 dbA. Potência elétrica máxima de 25 W. Fabricação em ABS branco (ref. Ventidis Aquarela M150 ou similar)</t>
  </si>
  <si>
    <t>19.6</t>
  </si>
  <si>
    <t>POSTES, TOTENS, CAIXAS DE PISO E ACESSÓRIOS</t>
  </si>
  <si>
    <t>19.6.1</t>
  </si>
  <si>
    <t>Coluna técnica de alumínio extrudado, comprimento 3,0 metros</t>
  </si>
  <si>
    <t>E53</t>
  </si>
  <si>
    <t>Coluna técnica de alumínio extrudado, comprimento 3,0 metros, com vergalhão regulador mínimo de 80 cm, na cor branca, incluindo luva de arremate e bases de apoio superior e inferior. Ref. Coluna Dutotec Plus Light DT 76240.01 e luva Dutotec DT 76940.00 ou similares</t>
  </si>
  <si>
    <t>Cabo de cobre isolado PP 3x2,5 mm²</t>
  </si>
  <si>
    <t>E54</t>
  </si>
  <si>
    <t>Plugue macho 2P+T, 20A, 250 V, NBR 14136</t>
  </si>
  <si>
    <t>19.6.2</t>
  </si>
  <si>
    <t>Totem de alumínio extrudado, comprimento 60 cm incluindo caixa de piso</t>
  </si>
  <si>
    <t>Totem de alumínio extrudado, comprimento 60cm na cor branca. Inclui guia de caixa de piso, fixador e arremate compatíveis. Ref. Dutotec Totem Plus DT 76345.00 similar</t>
  </si>
  <si>
    <t>Chapa de fixação em guia de caixa (ref. Dutotec DT 76399.00)</t>
  </si>
  <si>
    <t>Guia de caixa em ABS (ref. Dutotec dupla Standard DT 71904.00)</t>
  </si>
  <si>
    <t>19.6.3</t>
  </si>
  <si>
    <t>Caixa de piso com tampa antiderrapante dimensões 20x20x7 cm</t>
  </si>
  <si>
    <t>Caixa de piso embutida dimensões mínimas 20x20x7 cm com tampa basculante de alumínio injetado antiderrapante, guia de caixa em ABS,  Dutotec caixa dupla Standard de nível completa DT 71701.00 ou similar</t>
  </si>
  <si>
    <t>19.6.4</t>
  </si>
  <si>
    <t>Porta equipamentos para coluna ou totem técnico, com espaço para três blocos, na cor branca, tipo sobrepor.</t>
  </si>
  <si>
    <t>Porta equipamentos para coluna ou totem técnico para 3 RJ 45 REF: DT-64444.10 ou similar compatível</t>
  </si>
  <si>
    <t>19.6.5</t>
  </si>
  <si>
    <t>Tomada 2P+T 20A 250V NBR 14136 para coluna ou totem técnico, miolo branco ou preto</t>
  </si>
  <si>
    <t>Tomada 2P+T 20A 250V NBR 14136 para porta equipamentos, na cor branca. Ref. Dutotec 99233.00 ou similar compatível</t>
  </si>
  <si>
    <t>19.6.6</t>
  </si>
  <si>
    <t>Tomada 2P+T 20A 250V NBR 14136 para coluna ou totem técnico, miolo vermelho</t>
  </si>
  <si>
    <t>Tomada 2P+T 20A 250V NBR 14136 para porta equipamentos, na cor vermelha. Ref. Dutotec 99231.00 ou similar compatível</t>
  </si>
  <si>
    <t>19.6.7</t>
  </si>
  <si>
    <t>Bloco cego para porta equipamentos em coluna ou totem na cor branca</t>
  </si>
  <si>
    <t>Bloco cego para porta equipamentos em coluna ou totem na cor branca, ref. Dutotec DT 99430.00 ou similar</t>
  </si>
  <si>
    <t>19.7</t>
  </si>
  <si>
    <t>ILUMINAÇÃO COMUM E DE EMERGÊNCIA</t>
  </si>
  <si>
    <t>19.7.1</t>
  </si>
  <si>
    <t>Bloco autônomo de iluminação de emergência, 127 V, 30 leds instalado em parede</t>
  </si>
  <si>
    <t>E41</t>
  </si>
  <si>
    <t>Bloco autônomo de iluminação de emergência, 127 V (ou bivolt), mínimo 30 leds, com bateria de autonomia mínima de 2 horas, com cordão e plug 2P padrão NBR 14136, botão de teste, corpo da luminária na cor branca, com fita adesiva indicando "SAÍDA" com seta, na cor vermelha transparente</t>
  </si>
  <si>
    <t>Bucha de nylon com parafuso S-6 para alvenaria</t>
  </si>
  <si>
    <t>19.7.2</t>
  </si>
  <si>
    <t>Bloco autônomo de iluminação de emergência, 127 V, 30 leds, instalado sob o forro</t>
  </si>
  <si>
    <t>E42</t>
  </si>
  <si>
    <t>Prensa-cabo rosca PG-9. Ref. Steck ou similar</t>
  </si>
  <si>
    <t>E43</t>
  </si>
  <si>
    <t>Plugue fêmea 2P+T, 250 V, 10 A padrão NBR 14136</t>
  </si>
  <si>
    <t>E44</t>
  </si>
  <si>
    <t>Cabo de cobre isolado tipo PP 3x1,0 mm²</t>
  </si>
  <si>
    <t>19.7.3</t>
  </si>
  <si>
    <t>Aparelho sinalizador de veículos (saída do estacionamento)</t>
  </si>
  <si>
    <t>E45</t>
  </si>
  <si>
    <t>Aparelho sinalizador de veículos, 127 V, com duas lâmpadas de potência 40W, sequenciais, tipo totem com pintura epóxi (Ref. Marinil ou similar)</t>
  </si>
  <si>
    <t>19.7.4</t>
  </si>
  <si>
    <t>Arandela externa tipo globo com lâmpada fluorescente compacta de 23 W</t>
  </si>
  <si>
    <t>E56</t>
  </si>
  <si>
    <t>Arandela externa tipo globo para cima, com difusor em policarbonato leitoso, diâmetro 300 mm,  braço metálico pintado eletrostaticamente na cor preta, bocal E-27 (ref. Ideal Lustres PT-1274 ou similar)</t>
  </si>
  <si>
    <t>E46</t>
  </si>
  <si>
    <t>Lâmpada compacta de reator integrado branca de 23W / 127V branca (4000K ou superior) com selo Procel</t>
  </si>
  <si>
    <t>19.7.5</t>
  </si>
  <si>
    <t>Arandela externa tipo tartaruga em policarbonato com lâmpada fluorescente compacta de 23 W</t>
  </si>
  <si>
    <t>E47</t>
  </si>
  <si>
    <t>Arandela externa tipo tartaruga em policarbonato com bocal E27</t>
  </si>
  <si>
    <t>19.7.6</t>
  </si>
  <si>
    <t>Arandela interna em acrílico com lâmpada fluorescente compacta de 23 W</t>
  </si>
  <si>
    <t>E48</t>
  </si>
  <si>
    <t>Arandela interna fabricada em acrílico na cor branca com bocal E27 (ref. Magiluz Luna ou similar)</t>
  </si>
  <si>
    <t>19.7.7</t>
  </si>
  <si>
    <t>Luminária de embutir com uma lâmpada fluorescente compacta de 23 W (montagem na horizontal)</t>
  </si>
  <si>
    <t>E55</t>
  </si>
  <si>
    <t>Luminária de embutir para lâmpadas compactas de reator integrado, bocal E-27, em alumínio na cor branca, refletor anodizado, vidro temperado. Ref. Metal Técnica MF 008, Lumicenter Lumidec EF08-E2E27VJC, GoldLuz FCEL E27 EF08-E2E27VJC ou similar</t>
  </si>
  <si>
    <t>Plugue macho 2P+T, 250 V, 10 A padrão NBR 14136</t>
  </si>
  <si>
    <t>19.7.8</t>
  </si>
  <si>
    <t>Luminária de embutir com aletas (antireflexiva) com lâmpadas fluorescentes 4x16W</t>
  </si>
  <si>
    <t>Luminária de embutir padrão forro modular para lâmpadas fluorescentes 4x16W, em chapa de aço galvanizado e pintada, com refletor e aletas (mín. 16 células) em alumínio anodizado, fab. Lumicenter CAA01E416, Abalux A06, GoldLuz GL06, Itaim ou similar, com quatro lâmpadas fluorescentes 16 W tubular trifósforo temp cor 4000K a 5000K, IRC 85, 10.000h, baixo teor de mercúrio, ref. Philips, Osram, GE ou similar, com dois reatores eletrônicos de alto fator de potência (FP&gt;0,96) para duas lâmpadas fluorescentes de 16 W, DH máx 10%, 127 V, fixo à luminária por meio de fita dupla face</t>
  </si>
  <si>
    <t>19.7.9</t>
  </si>
  <si>
    <t>Luminária de embutir sem aletas com lâmpadas fluorescentes 4x16W</t>
  </si>
  <si>
    <t>Luminária de embutir padrão forro modular para lâmpadas fluorescentes 4x16W, em chapa de aço galvanizado e pintada, com refletor em alumínio anodizado e sem aletas, fab. Lumicenter similar aos modelos CAA01E416, Abalux A06, GoldLuz GL06, Itaim ou similar, com quatro lâmpadas fluorescentes 16 W tubular trifósforo temp cor 4000K a 5000K, IRC 85, 10.000h, baixo teor de mercúrio, ref. Philips, Osram, GE ou similar, com dois reatores eletrônicos de alto fator de potência (FP&gt;0,96) para duas lâmpadas fluorescentes de 16 W, DH máx 10%, 127 V, fixo à luminária por meio de fita dupla face</t>
  </si>
  <si>
    <t>19.7.10</t>
  </si>
  <si>
    <t>Luminária tipo comercial (calha) com uma lâmpada fluorescente 32W, reator eletrônico de alto fator de potência (&gt;=0,92), 127V, incluindo lâmpadas</t>
  </si>
  <si>
    <t>Luminária tipo comercial (calha) para uma lâmpada fluorescente tubular de 32 W ref. Intral ou similar equivalente, incluindo soquetes, reator eletrônico de partida rápida, alto fator de potência (&gt;= 0,92), DH máximo de 10%, com lâmpada fluorescente branca (4000K ou superior) de 32 W, baixo teor de mercúrio</t>
  </si>
  <si>
    <t>19.7.11</t>
  </si>
  <si>
    <t>Luminária tipo comercial (calha) com duas lâmpadas fluorescentes 32W, reator eletrônico de alto fator de potência (&gt;=0,92), 127V, incluindo lâmpadas</t>
  </si>
  <si>
    <t>Luminária tipo comercial (calha) para duas lâmpadas fluorescentes tubular de 32 W ref. Intral ou similar equivalente, incluindo soquetes, reator eletrônico de partida rápida, alto fator de potência (&gt;= 0,92), DH máximo de 10%, com lâmpadas fluorescentes branca (4000K ou superior) de 32 W, baixo teor de mercúrio</t>
  </si>
  <si>
    <t>19.7.12</t>
  </si>
  <si>
    <t>Relé fotoelétrico intercambiável com base, 127 V, 1000 W, fixado em alvenaria</t>
  </si>
  <si>
    <t>Relé fotoelétrico intercambiável, uso externo, com base, 127 V, 1000 W</t>
  </si>
  <si>
    <t>E49</t>
  </si>
  <si>
    <t>Base para relé fotoelétrico</t>
  </si>
  <si>
    <t>19.7.13</t>
  </si>
  <si>
    <t>Sensor de presença, de embutir em parede para caixa 4x2", 127V, 60Hz, 600W</t>
  </si>
  <si>
    <t>E51</t>
  </si>
  <si>
    <t>Sensor de presença de parede, de embutir em caixa 4x2", 127V, 60Hz, 600W, ângulo de abertura 120º x 115º (ou mais), jumper para temporização com opções, incluindo temporização de 10 minutos, com fusível de proteção, alcance médio de 5,0 metros, garantia do fabricante de 1 ano (ref. Sensor Light SLEI-03 ou similar equivalente). Se disponível, deverá ser desabilitada a função fotoelétrica. A temporização deverá ser ajustada para 10 minutos.</t>
  </si>
  <si>
    <t>19.7.14</t>
  </si>
  <si>
    <t>Sensor de presença, de teto, 127V, 60Hz, 600W</t>
  </si>
  <si>
    <t>E50</t>
  </si>
  <si>
    <t>Sensor de presença de teto, 127V, 60Hz, 600W, ângulo de abertura 360º, jumper para temporização com opções, incluindo temporização de 10 minutos, com fusível de proteção, alcance médio de 5,0 metros, garantia do fabricante de 1 ano (ref. Sensor Light SLET ou similar equivalente). Se disponível, deverá ser desabilitada a função fotoelétrica. A temporização deverá ser ajustada para 10 minutos.</t>
  </si>
  <si>
    <t>19.8</t>
  </si>
  <si>
    <t>QUADROS ELÉTRICOS  E BANCO DE CAPACITORES</t>
  </si>
  <si>
    <t>19.8.1</t>
  </si>
  <si>
    <t>Quadro QDG</t>
  </si>
  <si>
    <t>E20 (estimado)</t>
  </si>
  <si>
    <t xml:space="preserve">Quadro de sobrepor de dimensões sugeridas 800x1480x350 mm (LxAxP) com barramento trifásico,  com uma saída superior para eletrocalha 200x100 mm. Fabricado em chapa de aço, pintura eletrostática a pó, tratamento anti-oxidante (fosfato de ferro), grau de proteção IP54, com porta-projetos no interior, subtampa parafusada e com dobradiças, plaquetas idenficadoras internas e externas em acrílico, barramento de cobre eletrolítico 1.1/2"x1/4" (480 A) para fases, neutro e 1.1/2"x1/8" (240A) para terra. Conforme plano de face, o quadro deverá possuir espaço reserva para um disjuntor 3x200A, dois disjuntores 3x100A e 8 disjuntores monopolares DIN. Detalhes são mostrados no projeto (plano de face e diagrama unifilar) </t>
  </si>
  <si>
    <t>E19 (estimado)</t>
  </si>
  <si>
    <t>Barra de cobre eletrolítico 1.1/2"x1/4"</t>
  </si>
  <si>
    <t>mm</t>
  </si>
  <si>
    <t>Barra de cobre eletrolítico 1.1/2"x1/8"</t>
  </si>
  <si>
    <t>Barra de cobre eletrolítico 7/8"x3/16"</t>
  </si>
  <si>
    <t>Barra de cobre eletrolítico 5/8"x1/8"</t>
  </si>
  <si>
    <t>Barra de cobre eletrolítico 3/8"x1/8"</t>
  </si>
  <si>
    <t>Disjuntor termomagnético tripolar 400 A, Icc 40 kA</t>
  </si>
  <si>
    <t>E22</t>
  </si>
  <si>
    <t>Supressor de surtos 175V / 40 kA</t>
  </si>
  <si>
    <t>Disjuntor termomagnético monopolar 20 A, DIN, curva C</t>
  </si>
  <si>
    <t>Disjuntor termomagnético bipolar 50 A, DIN, curva C</t>
  </si>
  <si>
    <t>Disjuntor termomagnético tripolar 70 A, DIN, curva C</t>
  </si>
  <si>
    <t>Disjuntor termomagnético tripolar 100A</t>
  </si>
  <si>
    <t>Disjuntor termomagnético tripolar 125A</t>
  </si>
  <si>
    <t>Disjuntor termomagnético tripolar 200A</t>
  </si>
  <si>
    <t>E33</t>
  </si>
  <si>
    <t>Contator tripolar AC-3 7A , bobina 220 Vac, 60 Hz (ref. WEG CW7 ou similar)</t>
  </si>
  <si>
    <t>Acessórios (isoladores epóxi, parafusos, conectores, trilhos)</t>
  </si>
  <si>
    <t>19.8.2</t>
  </si>
  <si>
    <t>Quadro QDEG</t>
  </si>
  <si>
    <t>16138.8.1.8</t>
  </si>
  <si>
    <t xml:space="preserve">Quadro de sobrepor de dimensões sugeridas 550x900x200 mm (LxAxP) com barramento trifásico,  com uma saída superior para eletrocalha 200x100 mm. Fabricado em chapa de aço, pintura eletrostática a pó, tratamento anti-oxidante (fosfato de ferro), grau de proteção IP54, com porta-projetos no interior, subtampa parafusada e com dobradiças, plaquetas idenficadoras internas e externas em acrílico, barramento de cobre eletrolítico 1/2"x1/8" (80 A) para fases, neutro e terra. Conforme plano de face, o quadro deverá possuir espaço reserva para 8 disjuntores monopolares DIN. Detalhes são mostrados no projeto (plano de face e diagrama unifilar) </t>
  </si>
  <si>
    <t>Disjuntor termomagnético tripolar 40 A, DIN, curva C</t>
  </si>
  <si>
    <t>Disjuntor termomagnético tripolar 63 A, DIN, curva C</t>
  </si>
  <si>
    <t>E31</t>
  </si>
  <si>
    <t>Chave reversora tetrapolar 3 posições (I-0-II) de 63A (ref. JNG LW-26 ou similar)</t>
  </si>
  <si>
    <t>19.8.3</t>
  </si>
  <si>
    <t>Quadro QDACG</t>
  </si>
  <si>
    <t xml:space="preserve">Quadro de sobrepor de dimensões sugeridas 500x1000x200 mm (LxAxP) com barramento trifásico,  com uma saída superior para eletrocalha 200x100 mm. Fabricado em chapa de aço, pintura eletrostática a pó, tratamento anti-oxidante (fosfato de ferro), grau de proteção IP54, com porta-projetos no interior, subtampa parafusada e com dobradiças, plaquetas idenficadoras internas e externas em acrílico, barramento de cobre eletrolítico 7/8"x1/4" (280 A) para fases e neutro e 7/8"x1/8" (140 A) para terra. Conforme plano de face, o quadro deverá possuir espaço reserva para 3 disjuntores tripolares de 100 A e 12 disjuntores monopolares DIN. Detalhes são mostrados no projeto (plano de face e diagrama unifilar) </t>
  </si>
  <si>
    <t>19.8.4</t>
  </si>
  <si>
    <t>Quadro QD-REC</t>
  </si>
  <si>
    <t>E14</t>
  </si>
  <si>
    <t>Quadro de comando 40x40x20 cm em chapa de aço, pintura eletrostática a pó, tratamento anti-oxidante (fosfato de ferro), grau de proteção IP54, com placa removível para fixação de equipamentos</t>
  </si>
  <si>
    <t>E15</t>
  </si>
  <si>
    <t>Canaleta de PVC de recorte aberto 30x30 mm - barra 2,0 metros</t>
  </si>
  <si>
    <t>Disjuntor termomagnético bipolar 50A</t>
  </si>
  <si>
    <t>Disjuntor termomagnético bipolar 25A</t>
  </si>
  <si>
    <t>Contator tripolar AC-3 9A , bobina 220 Vac, 60 Hz (ref. WEG CWM9 ou similar)</t>
  </si>
  <si>
    <t>E34</t>
  </si>
  <si>
    <t>Relé de sobrecarga, compatível com contator adquirido, para faixa de corrente 5,6 a 8A (ref. WEG RW27 1D3-U008 ou similar)</t>
  </si>
  <si>
    <t>E17</t>
  </si>
  <si>
    <t>Sinaleiro led verde 220 Vac Ø22mm para quadro</t>
  </si>
  <si>
    <t>Sinaleiro led vermelho 220 Vac Ø22mm para quadro</t>
  </si>
  <si>
    <t>E18</t>
  </si>
  <si>
    <t>Botão de comando pulsador verde para quadro (NA) verde Ø22mm</t>
  </si>
  <si>
    <t>19.8.5</t>
  </si>
  <si>
    <t>Quadro QD-IC</t>
  </si>
  <si>
    <t>16138.8.1.6</t>
  </si>
  <si>
    <t xml:space="preserve">Quadro de sobrepor de dimensões sugeridas 400x500x200 mm (LxAxP) com barramento trifásico. Fabricado em chapa de aço, pintura eletrostática a pó, tratamento anti-oxidante (fosfato de ferro), grau de proteção IP54, com porta-projetos no interior, subtampa parafusada e com dobradiças, plaquetas idenficadoras internas e externas em acrílico, barramento de cobre eletrolítico 1/2"x3/32" (60 A) para fases, neutro e terra. Conforme plano de face, o quadro deverá possuir espaço reserva para 4 disjuntores monopolares DIN. Detalhes são mostrados no projeto (plano de face e diagrama unifilar) </t>
  </si>
  <si>
    <t>Disjuntor termomagnético tripolar 32 A</t>
  </si>
  <si>
    <t>E35</t>
  </si>
  <si>
    <t>Chave liga-desliga monopolar tipo alavanca para painel 15A (ref. Margirius 14123 ou similar)</t>
  </si>
  <si>
    <t>19.8.6</t>
  </si>
  <si>
    <t>Quadro QDCT</t>
  </si>
  <si>
    <t>E36</t>
  </si>
  <si>
    <t>Dispositivo DR 4x63A (In 30 mA)</t>
  </si>
  <si>
    <t>19.8.7</t>
  </si>
  <si>
    <t>Quadro QDACT, QDAC1 e QDAC2</t>
  </si>
  <si>
    <t xml:space="preserve">Quadro de sobrepor de dimensões sugeridas 500x900x200 mm (LxAxP) com barramento trifásico segmentado, com uma saída superior para eletrocalha 200x50 mm. Fabricado em chapa de aço, pintura eletrostática a pó, tratamento anti-oxidante (fosfato de ferro), grau de proteção IP54, com porta-projetos no interior, subtampa parafusada e com dobradiças, plaquetas idenficadoras internas e externas em acrílico, barramento de cobre eletrolítico 5/8"x3/16" (150 A) para fases e neutro e 5/8"x3/32" (75 A) para terra. Conforme plano de face, o quadro deverá possuir espaço reserva para 30 disjuntores monopolares DIN. Detalhes são mostrados no projeto (plano de face e diagrama unifilar) </t>
  </si>
  <si>
    <t>Disjuntor termomagnético tripolar 100 A</t>
  </si>
  <si>
    <t>19.8.8</t>
  </si>
  <si>
    <t>Quadro QDET</t>
  </si>
  <si>
    <t>19.8.9</t>
  </si>
  <si>
    <t>Quadro QDC1, QDC2</t>
  </si>
  <si>
    <t xml:space="preserve">Quadro de sobrepor de dimensões sugeridas 500x900x200 mm (LxAxP) com barramento trifásico segmentado, com uma saída superior para eletrocalha 200x50 mm. Fabricado em chapa de aço, pintura eletrostática a pó, tratamento anti-oxidante (fosfato de ferro), grau de proteção IP54, com porta-projetos no interior, subtampa parafusada e com dobradiças, plaquetas idenficadoras internas e externas em acrílico, barramento de cobre eletrolítico 5/8"x3/16" (150 A) para fases e neutro e 5/8"x3/32" (75 A) para terra. Conforme plano de face, o quadro deverá possuir espaço reserva para 11 disjuntores monopolares DIN. Detalhes são mostrados no projeto (plano de face e diagrama unifilar) </t>
  </si>
  <si>
    <t>19.8.10</t>
  </si>
  <si>
    <t>Quadro QDE1, QDE2</t>
  </si>
  <si>
    <t xml:space="preserve">Quadro de sobrepor de dimensões sugeridas 400x500x200 mm (LxAxP) com barramento trifásico. Fabricado em chapa de aço, pintura eletrostática a pó, tratamento anti-oxidante (fosfato de ferro), grau de proteção IP54, com porta-projetos no interior, subtampa parafusada e com dobradiças, plaquetas idenficadoras internas e externas em acrílico, barramento de cobre eletrolítico 1/2"x3/32" (60 A) para fases, neutro e terra. Conforme plano de face, o quadro deverá possuir espaço reserva para 5 disjuntores monopolares DIN. Detalhes são mostrados no projeto (plano de face e diagrama unifilar) </t>
  </si>
  <si>
    <t>19.8.11</t>
  </si>
  <si>
    <t>Banco de capacitores automático de 30 kVAr</t>
  </si>
  <si>
    <t>E59</t>
  </si>
  <si>
    <t>Banco de capacitores automático, trifásico,  30 kVar, 220 V, com precisão de correção de 5 kVAr. Inclui fixação, ajustes e testes, inclusive conexão com quadro QDG</t>
  </si>
  <si>
    <t>20.1</t>
  </si>
  <si>
    <t>INFRAESTRUTURA E CABEAMENTO</t>
  </si>
  <si>
    <t>20.1.1</t>
  </si>
  <si>
    <t>Eletroduto de aço galvanizado Ø1" (25mm) pintado com esmalte na cor vermelha para sistema de alarme de incêndio e alimentador para bomba de combate a incêndio</t>
  </si>
  <si>
    <t>16131.8.3.21</t>
  </si>
  <si>
    <t>ELETRODUTO de aço carbono com costura galvanizado eletrolítico, inclusive conexões, Ø 25 mm (1")</t>
  </si>
  <si>
    <t>Pintura em esmalte sintético na cor vermelha - duas demãos</t>
  </si>
  <si>
    <t>20.1.2</t>
  </si>
  <si>
    <t>20.1.3</t>
  </si>
  <si>
    <t>20.1.4</t>
  </si>
  <si>
    <t>20.1.5</t>
  </si>
  <si>
    <t>20.1.6</t>
  </si>
  <si>
    <t>Cabo de cobre múltiplo tipo PP 2x1,5 mm² isolação PVC 750 V</t>
  </si>
  <si>
    <t>E12</t>
  </si>
  <si>
    <t>20.1.7</t>
  </si>
  <si>
    <t>Cabo de cobre múltiplo tipo PP 3x1,5 mm² isolação PVC 750 V</t>
  </si>
  <si>
    <t>E13</t>
  </si>
  <si>
    <t>20.2</t>
  </si>
  <si>
    <t>CENTRAL, ACIONADORES E ACESSÓRIOS</t>
  </si>
  <si>
    <t>20.2.1</t>
  </si>
  <si>
    <t>Central de alarme de incêndio convencional</t>
  </si>
  <si>
    <t>E32</t>
  </si>
  <si>
    <t>Central de alarme de incêndio convencional, digital, para no mínimo 6 laços, tensão de alimentação 127 Vca ou bivolt, tensão de saída para dispositivos de 24 Vcc, com indicações de estado através de leds (falha, alarme, fonte), botão de teste, botão de acionamento, botões de silenciador da central e do alarme, com baterias de autonomia mínima 15 minutos com o sistema em alarme ou 24 horas com o sistema em repouso (ref. Ilumac IPA-06.24 ou similar). Inclui instalação, configurações e testes</t>
  </si>
  <si>
    <t>20.2.2</t>
  </si>
  <si>
    <t>Acionador manual de alarme de incêndio</t>
  </si>
  <si>
    <t>Acionador manual de alarme de incêndio, 24Vcc, em plástico ABS vermelho, tipo quebra-vidro, com contato com leds de supervisão e de acionamento (ref. Ilumac AM-C ou similar)</t>
  </si>
  <si>
    <t>20.2.3</t>
  </si>
  <si>
    <t>Acionador manual da bomba de combate a incêndio</t>
  </si>
  <si>
    <t>Acionador liga-desliga para bomba de combate a incêndio, 220 Vac, em plástico ABS vermelho, com chave liga pulsante na cor verde com contato NA, com chave desliga pulsante na cor vermelha com contato NF (ref. Ilumac AM-B ou similar)</t>
  </si>
  <si>
    <t>20.2.4</t>
  </si>
  <si>
    <t>Sirene audivisual do sistema de alarme de incêndio</t>
  </si>
  <si>
    <t xml:space="preserve">Sirene audivisual em plástico ABS vermelho, 24 Vcc, sinalização visual tipo strobe com leds na cor vermelha, sirene bitonal com potência mínima de 100 dBA a 1,0 metro, </t>
  </si>
  <si>
    <t>20.3</t>
  </si>
  <si>
    <t>ACIONAMENTO DA BOMBA DE COMBATE À INCÊNDIO</t>
  </si>
  <si>
    <t>20.3.1</t>
  </si>
  <si>
    <t>Quadro QD-INC (acionamento da bomba de incêndio)</t>
  </si>
  <si>
    <t>Disjuntor termomagnético tripolar 50A, DIN, curva C</t>
  </si>
  <si>
    <t>Disjuntor termomagnético monopolar 20A, DIN, curva C</t>
  </si>
  <si>
    <t>Contator tripolar com dois contatos auxiliares NA para corrente nominal 25A (AC-3), bobina 220 Vac, 60 Hz (ref. WEG, Siemens ou similar)</t>
  </si>
  <si>
    <t>Botão de comando pulsador verde para quadro (NA) vermelho Ø22mm</t>
  </si>
  <si>
    <t>INSTALAÇÕES LÓGICAS, CFTV, TELEFONIA E ALARME</t>
  </si>
  <si>
    <t>21.1</t>
  </si>
  <si>
    <t>SERVIÇOS PRELIMINARES</t>
  </si>
  <si>
    <t>21.1.1</t>
  </si>
  <si>
    <t>Corte em concreto de pisos e lajes, com discos diamantados, utilizando cortadora de piso espessura do corte 13 cm (corte de laje para prumada)</t>
  </si>
  <si>
    <t>02220.8.4.2</t>
  </si>
  <si>
    <t>21.1.2</t>
  </si>
  <si>
    <t>Demolição de concreto com ferramentas manuais (corte de laje para prumada)</t>
  </si>
  <si>
    <t>m3</t>
  </si>
  <si>
    <t xml:space="preserve">  </t>
  </si>
  <si>
    <t>21.2</t>
  </si>
  <si>
    <t>Eletrodutos caixas e acessórios</t>
  </si>
  <si>
    <t>21.2.1</t>
  </si>
  <si>
    <t>21.2.2</t>
  </si>
  <si>
    <t>21.2.3</t>
  </si>
  <si>
    <t>21.2.4</t>
  </si>
  <si>
    <t>21.2.5</t>
  </si>
  <si>
    <t>21.2.6</t>
  </si>
  <si>
    <t>21.2.7</t>
  </si>
  <si>
    <t>21.2.8</t>
  </si>
  <si>
    <t>21.2.9</t>
  </si>
  <si>
    <t>2688</t>
  </si>
  <si>
    <t>21.2.10</t>
  </si>
  <si>
    <t>Eletroduto de PVC rígido roscável,inclusive conexões ø 32 mm (1")</t>
  </si>
  <si>
    <t>21.2.11</t>
  </si>
  <si>
    <t>Eletroduto de PVC rígido roscável,inclusive conexões ø 40 mm (1 1/4")</t>
  </si>
  <si>
    <t>Eletroduto de PVC rígido roscável Ø40 mm (1 1/4")</t>
  </si>
  <si>
    <t>21.2.12</t>
  </si>
  <si>
    <t>Eletroduto de PVC rígido roscável,inclusive conexões ø 60 mm (2")</t>
  </si>
  <si>
    <t>21.2.13</t>
  </si>
  <si>
    <t>21.2.14</t>
  </si>
  <si>
    <t>Placa (espelho) cega para caixa 4x4"</t>
  </si>
  <si>
    <t>Placa (espelho) cega para caixa 4x4" (ref. Pial Legrand Pialplus, Enerbras Reale, Iriel Talari, Siemens Ilus ou similar)</t>
  </si>
  <si>
    <t>21.2.15</t>
  </si>
  <si>
    <t>Caixa de telefone em chapa de aço padrão telebrás, de embutir dimensões internas 200 x 200 x 1250 mm</t>
  </si>
  <si>
    <t>16136.8.4.1</t>
  </si>
  <si>
    <t>Caixa de telefone em chapa de aço padrão telebrás, de embutir dimensões internas 200 x 200 x 120 mm</t>
  </si>
  <si>
    <t>21.2.16</t>
  </si>
  <si>
    <t>Caixa de telefone em chapa de aço padrão telebrás, de sobrepor, dimensões internas 400 x 400 x 150 mm</t>
  </si>
  <si>
    <t>16136.8.4.3</t>
  </si>
  <si>
    <t>21.2.17</t>
  </si>
  <si>
    <t>Bloco de engate rápido (BER) tipo Bargoa 10 pares e suporte</t>
  </si>
  <si>
    <t>21.3</t>
  </si>
  <si>
    <t>CABEAMENTO LÓGICO, TELEFONIA E ALARME</t>
  </si>
  <si>
    <t>21.3.1</t>
  </si>
  <si>
    <t>Cabo de lógica 4 pares Cat. 6  UTP na cor cinza ou azul</t>
  </si>
  <si>
    <t xml:space="preserve">Cotação  </t>
  </si>
  <si>
    <t>Cabo de lógica 4 pares Cat. 6  UTP -  norma ANSI/TIA/EIA-568-B.2-1 instalado com mão de obra qualificada, sem estrangulamento do cabo, sem torção, sem deformação, fixado com velcro, sem descobrimento acima de 13mm da capa. Ref. Furukawa linha profissional ou similar.</t>
  </si>
  <si>
    <t>Eletricista Industrial</t>
  </si>
  <si>
    <t>21.3.2</t>
  </si>
  <si>
    <t>Cabo CFOA MM 06 fibras Furukawa ou similar</t>
  </si>
  <si>
    <t>Cabo CFOA MM 04 fibras Furukawa ou similar</t>
  </si>
  <si>
    <t>73768/10</t>
  </si>
  <si>
    <t>21.3.3</t>
  </si>
  <si>
    <t>CABO CCI 50-2 PARES PARA SISTEMA DE ALARME</t>
  </si>
  <si>
    <t>73768/12</t>
  </si>
  <si>
    <t>21.3.4</t>
  </si>
  <si>
    <t xml:space="preserve">CABO CCI 50-4 PARES </t>
  </si>
  <si>
    <t>73768/3</t>
  </si>
  <si>
    <t>21.3.5</t>
  </si>
  <si>
    <t xml:space="preserve">CABO CI 50-10 PARES </t>
  </si>
  <si>
    <t>CABO CI 50-10 PARES</t>
  </si>
  <si>
    <t>21.4</t>
  </si>
  <si>
    <t>RACK´s E ACESSÓRIOS</t>
  </si>
  <si>
    <t>21.4.1</t>
  </si>
  <si>
    <t>Rack fechado padrão 19" altura 24U, profundidade 770 mm, em chapa de aço, laterais e fundo removíveis, teto preparado para unidade de ventilação, porta frontal em aço e em acrílico cristal ou vidro e fechadura provida de trinco e chave</t>
  </si>
  <si>
    <t>Rack fechado padrão 19" altura 24U, profundidade 770 mm</t>
  </si>
  <si>
    <t>21.4.2</t>
  </si>
  <si>
    <t>Rack fechado padrão 19" altura 28U, profundidade 770 mm, em chapa de aço, laterais e fundo removíveis, teto preparado para unidade de ventilação, porta frontal em aço e em acrílico cristal ou vidro e fechadura provida de trinco e chave</t>
  </si>
  <si>
    <t>Rack fechado padrão 19" altura 28U, profundidade 770 mm</t>
  </si>
  <si>
    <t>21.4.3</t>
  </si>
  <si>
    <t>Régua de tomadas com 8 posições NBR 14136 10 A</t>
  </si>
  <si>
    <t>21.4.4</t>
  </si>
  <si>
    <t>Patch-pannel 24 portas RJ-45, padrão 19", cat-6 T568A/B  para rack 19" referência Furukawa ou similar.</t>
  </si>
  <si>
    <t>Patch-pannel 24 portas RJ-45, padrão 19", cat-6 T568A/B referência Furukawa ou similar.</t>
  </si>
  <si>
    <t>21.4.5</t>
  </si>
  <si>
    <t>Serviço de instalação de guia de cabos Horizontal 1U, tipo aberto (a ser fornecido pelo TRT)</t>
  </si>
  <si>
    <t>21.4.6</t>
  </si>
  <si>
    <t xml:space="preserve">Bandeja fixação frontal para rack 19", 1U </t>
  </si>
  <si>
    <t>Bandeja fixação frontal para rack 19", 1U</t>
  </si>
  <si>
    <t>21.4.7</t>
  </si>
  <si>
    <t>DIO para 12 fibras, com módulo básico, kit bandeja para 12 fibras e 4 extensões ópticas duplex conectorizadas, com 8 conectores SC-PC, Furukawa A270 ou similar</t>
  </si>
  <si>
    <t>Cordão óptico SC-PC</t>
  </si>
  <si>
    <t>21.4.8</t>
  </si>
  <si>
    <t>DIO para 4 fibras padrão 19", 1U</t>
  </si>
  <si>
    <r>
      <t>DIO para 4</t>
    </r>
    <r>
      <rPr>
        <sz val="9"/>
        <color indexed="8"/>
        <rFont val="Arial"/>
        <family val="2"/>
      </rPr>
      <t xml:space="preserve"> fibras, com módulo básico, kit bandeja para 4 fibras e 2 extensões ópticas duplex conectorizadas, com 4 conectores SC-PC, Furukawa, Nexans ou similar</t>
    </r>
  </si>
  <si>
    <t>21.4.9</t>
  </si>
  <si>
    <t>Serviço de fusão de fibras em DIO</t>
  </si>
  <si>
    <t>pt</t>
  </si>
  <si>
    <t>21.4.10</t>
  </si>
  <si>
    <t>Patch cord categoria 6 - azul - 1,5m (lógica) - Furukawa ou similar, certificado</t>
  </si>
  <si>
    <t>21.4.11</t>
  </si>
  <si>
    <t>Patch cord categoria 6 - azul - 3,0m (lógica) - Furukawa ou similar, certificado</t>
  </si>
  <si>
    <t>21.4.12</t>
  </si>
  <si>
    <t>Patch cord categoria 6 - azul - 10,0m (lógica) - Furukawa ou similar, certificado</t>
  </si>
  <si>
    <t>21.4.13</t>
  </si>
  <si>
    <t>21.5</t>
  </si>
  <si>
    <t>TOMADAS,  CONECTORES E ACESSÓRIOS</t>
  </si>
  <si>
    <t>21.5.1</t>
  </si>
  <si>
    <t>Tomada RJ-45 CATEGORIA 6 (referência Furukawa ou equivalente)</t>
  </si>
  <si>
    <t>21.5.2</t>
  </si>
  <si>
    <t>Placa 4x2" com suporte para 1 módulo RJ45 na cor branca (ref. Pial Legrand Pialplus, Siemens, Alumbra ou similar)</t>
  </si>
  <si>
    <t>Placa 4x2" com suporte para 1 módulo RJ45</t>
  </si>
  <si>
    <t>21.5.3</t>
  </si>
  <si>
    <t>Placa 4x2" com suporte para 2 módulos RJ45 na cor branca (ref. Pial Legrand Pialplus, Siemens, Alumbra ou similar)</t>
  </si>
  <si>
    <t>Placa 4x2" com suporte para 2 módulos RJ45</t>
  </si>
  <si>
    <t>21.5.4</t>
  </si>
  <si>
    <t>21.5.5</t>
  </si>
  <si>
    <t>21.5.6</t>
  </si>
  <si>
    <t>Bloco para Keystone para instalação em porta equipamento slim, na cor branca</t>
  </si>
  <si>
    <t>Bloco para Keystone para instalação em porta equipamento slim, na cor branca, ref. Dutotec DT 99530.00 ou similar compatível</t>
  </si>
  <si>
    <t>21.5.7</t>
  </si>
  <si>
    <t xml:space="preserve">Espelho para 1 módulo RJ45 para instalação em condulete </t>
  </si>
  <si>
    <t>21.5.8</t>
  </si>
  <si>
    <t xml:space="preserve">Espelho para 2 módulos RJ45 para instalação em condulete </t>
  </si>
  <si>
    <t>21.5.9</t>
  </si>
  <si>
    <t>Tomada para telefone 4 polos padrão Telebrás</t>
  </si>
  <si>
    <t>21.6</t>
  </si>
  <si>
    <t>CERTIFICAÇÃO DE REDE LÓGICA</t>
  </si>
  <si>
    <t>21.6.1</t>
  </si>
  <si>
    <t>Serviço de certificação de ponto Cat-6 com emissão de relatório</t>
  </si>
  <si>
    <t>21.7</t>
  </si>
  <si>
    <t>SONORIZAÇÃO</t>
  </si>
  <si>
    <t>21.7.1</t>
  </si>
  <si>
    <r>
      <t>Caixa de som tipo arandela de embutir</t>
    </r>
    <r>
      <rPr>
        <sz val="9"/>
        <color indexed="8"/>
        <rFont val="Arial"/>
        <family val="2"/>
      </rPr>
      <t xml:space="preserve"> 6"</t>
    </r>
  </si>
  <si>
    <t>Caixa de som tipo arandela de embutir, potência 25W RMS, impedância 8Ω, redonda 6", com tela de proteção, moldura em plástico injetado branco. Ref. Frahm, Selenium ou similar</t>
  </si>
  <si>
    <t>21.7.2</t>
  </si>
  <si>
    <t>Par de conectores macho-fêmea P10 mono para sonorização</t>
  </si>
  <si>
    <t>Par de conectores macho-fêmea P10 mono para sonorização, incluindo conexão em cabo PP com solda (estanho). Inclui uma adaptação em totem para instalação de conector fêmea</t>
  </si>
  <si>
    <t>21.7.3</t>
  </si>
  <si>
    <t>Cabo múltiplo de cobre flexível 2x1,0 mm², PP 450/750V</t>
  </si>
  <si>
    <t>Cabo múltiplo de cobre flexível 2x1,0 mm², isolamentos internos 450/750V em PVC antichama 70ºC, capa externa PVC 60ºC, conforme NBR 13249. Ref. Conduspar PP 450/750V, Prysmian Cordplast ou similar</t>
  </si>
  <si>
    <t>21.8</t>
  </si>
  <si>
    <t>CFTV E ALARME</t>
  </si>
  <si>
    <t>21.8.1</t>
  </si>
  <si>
    <t>Câmera CFTV Intelbrás interna ref. VMD 315 IR ou similar compatível</t>
  </si>
  <si>
    <t>21.8.2</t>
  </si>
  <si>
    <t>Câmera CFTV Intelbrás externa ref. VP E730 IR ou similar compatível</t>
  </si>
  <si>
    <t>21.8.3</t>
  </si>
  <si>
    <t>Caixa hermética para CFTV dimensões 19 x 15 x 7 cm</t>
  </si>
  <si>
    <t>L17</t>
  </si>
  <si>
    <t>21.8.4</t>
  </si>
  <si>
    <t>Gravador de imagens DVR Intelbrás para 16 canais ref. VD 16D1 480H ou similar</t>
  </si>
  <si>
    <t>21.8.5</t>
  </si>
  <si>
    <t>Painel Balun Passivo 300m 19" 16 Canais Liv ou similar</t>
  </si>
  <si>
    <t>21.8.6</t>
  </si>
  <si>
    <t>Balun passivo para RJ45</t>
  </si>
  <si>
    <t>par</t>
  </si>
  <si>
    <t>21.8.7</t>
  </si>
  <si>
    <t>Fonte de Alimentação 12V 5A - Estabilizada com proteção contra curto e sobrecarga - bivolt automático</t>
  </si>
  <si>
    <t>21.8.8</t>
  </si>
  <si>
    <t>Cabo coaxial BNC BNC 1,8 m para CFTV</t>
  </si>
  <si>
    <t>21.8.9</t>
  </si>
  <si>
    <t>Central de alarme com 18 zonas, ref Intelbrás AMT 2018 EG com Ethernet e GPRS ou similar compatível, teclado incluso</t>
  </si>
  <si>
    <t>21.8.10</t>
  </si>
  <si>
    <t>Sirene para alarme 120dB</t>
  </si>
  <si>
    <t>21.8.11</t>
  </si>
  <si>
    <t>Sensor de presença interno Intelbrás  IVP 2000 ou similar compatível</t>
  </si>
  <si>
    <t>21.8.12</t>
  </si>
  <si>
    <t>Sensor de presença externo Intelbras IVP 3000 EX ou similar compatível</t>
  </si>
  <si>
    <t>21.8.13</t>
  </si>
  <si>
    <t>Serviço de ajuste, conexões, configuração e interligação do sistema de CFTV ao sistema de monitoramento do TRT</t>
  </si>
  <si>
    <t>TOTAIS</t>
  </si>
  <si>
    <t>ESTATÍSTICA</t>
  </si>
  <si>
    <t>SISTEMAS ELÉTRICOS DE COMBATE A INCÊNDIO</t>
  </si>
  <si>
    <t>Caixa de passagem metálica com tampa 50x50x25 cm e dispositivo para lacre da Copel</t>
  </si>
  <si>
    <t>E60</t>
  </si>
  <si>
    <t>74071/2 + 3107</t>
  </si>
  <si>
    <r>
      <t xml:space="preserve">87562
</t>
    </r>
    <r>
      <rPr>
        <sz val="6"/>
        <rFont val="Arial"/>
        <family val="2"/>
      </rPr>
      <t>ADAPTADA PARA 40CM</t>
    </r>
  </si>
  <si>
    <t>Tampo de granito para pia (cor: CINZA ANDORINHA / espessura: 30,00 mm / largura: 0,60 m) - polido</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</si>
</sst>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 #,##0.00_-;_-* &quot;-&quot;??_-;_-@_-"/>
    <numFmt numFmtId="164" formatCode="_(&quot;R$ &quot;* #,##0.00_);_(&quot;R$ &quot;* \(#,##0.00\);_(&quot;R$ &quot;* &quot;-&quot;??_);_(@_)"/>
    <numFmt numFmtId="165" formatCode="_(* #,##0.00_);_(* \(#,##0.00\);_(* &quot;-&quot;??_);_(@_)"/>
    <numFmt numFmtId="166" formatCode="#,##0.000000"/>
    <numFmt numFmtId="167" formatCode="#,##0.00_);[Red]\(#,##0.00\);"/>
  </numFmts>
  <fonts count="67" x14ac:knownFonts="1">
    <font>
      <sz val="11"/>
      <color theme="1"/>
      <name val="Calibri"/>
      <family val="2"/>
      <scheme val="minor"/>
    </font>
    <font>
      <sz val="11"/>
      <color indexed="8"/>
      <name val="Calibri"/>
      <family val="2"/>
    </font>
    <font>
      <sz val="8"/>
      <color indexed="8"/>
      <name val="Arial"/>
      <family val="2"/>
    </font>
    <font>
      <b/>
      <sz val="14"/>
      <color indexed="8"/>
      <name val="Arial"/>
      <family val="2"/>
    </font>
    <font>
      <b/>
      <sz val="9"/>
      <color indexed="8"/>
      <name val="Arial"/>
      <family val="2"/>
    </font>
    <font>
      <sz val="9"/>
      <color indexed="8"/>
      <name val="Arial"/>
      <family val="2"/>
    </font>
    <font>
      <sz val="11"/>
      <color indexed="8"/>
      <name val="Calibri"/>
      <family val="2"/>
    </font>
    <font>
      <b/>
      <sz val="11"/>
      <color indexed="8"/>
      <name val="Calibri"/>
      <family val="2"/>
    </font>
    <font>
      <sz val="8"/>
      <color indexed="8"/>
      <name val="Verdana"/>
      <family val="2"/>
    </font>
    <font>
      <b/>
      <sz val="8"/>
      <color indexed="8"/>
      <name val="Verdana"/>
      <family val="2"/>
    </font>
    <font>
      <b/>
      <sz val="8"/>
      <color indexed="8"/>
      <name val="Arial"/>
      <family val="2"/>
    </font>
    <font>
      <sz val="8"/>
      <name val="Verdana"/>
      <family val="2"/>
    </font>
    <font>
      <b/>
      <sz val="9"/>
      <name val="Arial"/>
      <family val="2"/>
    </font>
    <font>
      <b/>
      <sz val="12"/>
      <color indexed="8"/>
      <name val="Arial"/>
      <family val="2"/>
    </font>
    <font>
      <sz val="10"/>
      <name val="Arial"/>
      <family val="2"/>
    </font>
    <font>
      <sz val="11"/>
      <name val="Arial"/>
      <family val="2"/>
    </font>
    <font>
      <b/>
      <sz val="12"/>
      <name val="Arial"/>
      <family val="2"/>
    </font>
    <font>
      <sz val="12"/>
      <color indexed="8"/>
      <name val="Arial"/>
      <family val="2"/>
    </font>
    <font>
      <sz val="8"/>
      <name val="Arial"/>
      <family val="2"/>
    </font>
    <font>
      <b/>
      <sz val="8"/>
      <name val="Arial"/>
      <family val="2"/>
    </font>
    <font>
      <sz val="11"/>
      <color indexed="8"/>
      <name val="Arial"/>
      <family val="2"/>
    </font>
    <font>
      <sz val="14"/>
      <color indexed="8"/>
      <name val="Calibri"/>
      <family val="2"/>
    </font>
    <font>
      <b/>
      <sz val="14"/>
      <color indexed="8"/>
      <name val="Calibri"/>
      <family val="2"/>
    </font>
    <font>
      <sz val="10"/>
      <color indexed="8"/>
      <name val="Calibri"/>
      <family val="2"/>
    </font>
    <font>
      <sz val="12"/>
      <color indexed="8"/>
      <name val="Calibri"/>
      <family val="2"/>
    </font>
    <font>
      <sz val="12"/>
      <name val="Arial"/>
      <family val="2"/>
    </font>
    <font>
      <sz val="8"/>
      <color indexed="8"/>
      <name val="Calibri"/>
      <family val="2"/>
    </font>
    <font>
      <sz val="8"/>
      <name val="Calibri"/>
      <family val="2"/>
    </font>
    <font>
      <sz val="6"/>
      <name val="Arial"/>
      <family val="2"/>
    </font>
    <font>
      <sz val="6"/>
      <color indexed="8"/>
      <name val="Calibri"/>
      <family val="2"/>
    </font>
    <font>
      <b/>
      <sz val="6"/>
      <color indexed="8"/>
      <name val="Arial"/>
      <family val="2"/>
    </font>
    <font>
      <sz val="6"/>
      <color indexed="8"/>
      <name val="Arial"/>
      <family val="2"/>
    </font>
    <font>
      <b/>
      <sz val="11"/>
      <color indexed="8"/>
      <name val="Calibri"/>
      <family val="2"/>
    </font>
    <font>
      <sz val="8"/>
      <color indexed="8"/>
      <name val="Calibri"/>
      <family val="2"/>
    </font>
    <font>
      <b/>
      <sz val="8"/>
      <color indexed="8"/>
      <name val="Calibri"/>
      <family val="2"/>
    </font>
    <font>
      <b/>
      <sz val="10"/>
      <color indexed="8"/>
      <name val="Calibri"/>
      <family val="2"/>
    </font>
    <font>
      <sz val="7"/>
      <color indexed="8"/>
      <name val="Calibri"/>
      <family val="2"/>
    </font>
    <font>
      <sz val="8"/>
      <name val="Calibri"/>
      <family val="2"/>
    </font>
    <font>
      <sz val="5"/>
      <color indexed="8"/>
      <name val="Calibri"/>
      <family val="2"/>
    </font>
    <font>
      <sz val="6"/>
      <color indexed="8"/>
      <name val="Calibri"/>
      <family val="2"/>
    </font>
    <font>
      <sz val="10"/>
      <color indexed="8"/>
      <name val="Calibri"/>
      <family val="2"/>
    </font>
    <font>
      <sz val="9"/>
      <color indexed="8"/>
      <name val="Calibri"/>
      <family val="2"/>
    </font>
    <font>
      <sz val="14"/>
      <color indexed="8"/>
      <name val="Calibri"/>
      <family val="2"/>
    </font>
    <font>
      <sz val="7"/>
      <name val="Arial"/>
      <family val="2"/>
    </font>
    <font>
      <sz val="11"/>
      <color theme="1"/>
      <name val="Calibri"/>
      <family val="2"/>
      <scheme val="minor"/>
    </font>
    <font>
      <sz val="11"/>
      <color theme="0"/>
      <name val="Calibri"/>
      <family val="2"/>
      <scheme val="minor"/>
    </font>
    <font>
      <sz val="11"/>
      <color rgb="FF006100"/>
      <name val="Calibri"/>
      <family val="2"/>
      <scheme val="minor"/>
    </font>
    <font>
      <b/>
      <sz val="11"/>
      <color rgb="FFFA7D00"/>
      <name val="Calibri"/>
      <family val="2"/>
      <scheme val="minor"/>
    </font>
    <font>
      <b/>
      <sz val="11"/>
      <color theme="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sz val="11"/>
      <color rgb="FFFF0000"/>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2"/>
      <color theme="1"/>
      <name val="Arial"/>
      <family val="2"/>
    </font>
    <font>
      <sz val="9"/>
      <color theme="1"/>
      <name val="Arial"/>
      <family val="2"/>
    </font>
    <font>
      <b/>
      <sz val="9"/>
      <color theme="1"/>
      <name val="Arial"/>
      <family val="2"/>
    </font>
    <font>
      <sz val="9"/>
      <name val="Arial"/>
      <family val="2"/>
    </font>
    <font>
      <sz val="10"/>
      <color theme="1"/>
      <name val="Calibri"/>
      <family val="2"/>
      <scheme val="minor"/>
    </font>
    <font>
      <b/>
      <sz val="9"/>
      <color indexed="8"/>
      <name val="Calibri"/>
      <family val="2"/>
    </font>
  </fonts>
  <fills count="4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11"/>
      </patternFill>
    </fill>
    <fill>
      <patternFill patternType="solid">
        <fgColor indexed="36"/>
      </patternFill>
    </fill>
    <fill>
      <patternFill patternType="solid">
        <fgColor indexed="52"/>
      </patternFill>
    </fill>
    <fill>
      <patternFill patternType="solid">
        <fgColor indexed="9"/>
        <bgColor indexed="64"/>
      </patternFill>
    </fill>
    <fill>
      <patternFill patternType="solid">
        <fgColor indexed="9"/>
        <bgColor indexed="26"/>
      </patternFill>
    </fill>
    <fill>
      <patternFill patternType="solid">
        <fgColor indexed="43"/>
        <bgColor indexed="64"/>
      </patternFill>
    </fill>
    <fill>
      <patternFill patternType="solid">
        <fgColor indexed="47"/>
        <bgColor indexed="64"/>
      </patternFill>
    </fill>
    <fill>
      <patternFill patternType="solid">
        <fgColor indexed="47"/>
        <bgColor indexed="8"/>
      </patternFill>
    </fill>
    <fill>
      <patternFill patternType="solid">
        <fgColor indexed="26"/>
        <bgColor indexed="64"/>
      </patternFill>
    </fill>
    <fill>
      <patternFill patternType="solid">
        <fgColor indexed="22"/>
        <bgColor indexed="64"/>
      </patternFill>
    </fill>
    <fill>
      <patternFill patternType="solid">
        <fgColor indexed="31"/>
        <bgColor indexed="64"/>
      </patternFill>
    </fill>
    <fill>
      <patternFill patternType="solid">
        <fgColor indexed="27"/>
        <bgColor indexed="64"/>
      </patternFill>
    </fill>
    <fill>
      <patternFill patternType="solid">
        <fgColor indexed="10"/>
        <bgColor indexed="64"/>
      </patternFill>
    </fill>
    <fill>
      <patternFill patternType="solid">
        <fgColor indexed="46"/>
        <bgColor indexed="64"/>
      </patternFill>
    </fill>
    <fill>
      <patternFill patternType="solid">
        <fgColor indexed="42"/>
        <bgColor indexed="64"/>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rgb="FFC6EFCE"/>
      </patternFill>
    </fill>
    <fill>
      <patternFill patternType="solid">
        <fgColor rgb="FFF2F2F2"/>
      </patternFill>
    </fill>
    <fill>
      <patternFill patternType="solid">
        <fgColor rgb="FFA5A5A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FC7CE"/>
      </patternFill>
    </fill>
    <fill>
      <patternFill patternType="solid">
        <fgColor rgb="FFFFEB9C"/>
      </patternFill>
    </fill>
    <fill>
      <patternFill patternType="solid">
        <fgColor rgb="FFFFFFCC"/>
      </patternFill>
    </fill>
    <fill>
      <patternFill patternType="solid">
        <fgColor rgb="FFFFFF00"/>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theme="0" tint="-0.249977111117893"/>
        <bgColor indexed="31"/>
      </patternFill>
    </fill>
  </fills>
  <borders count="119">
    <border>
      <left/>
      <right/>
      <top/>
      <bottom/>
      <diagonal/>
    </border>
    <border>
      <left/>
      <right/>
      <top style="hair">
        <color indexed="64"/>
      </top>
      <bottom style="hair">
        <color indexed="64"/>
      </bottom>
      <diagonal/>
    </border>
    <border>
      <left style="hair">
        <color indexed="64"/>
      </left>
      <right/>
      <top/>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diagonal/>
    </border>
    <border>
      <left/>
      <right/>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diagonal/>
    </border>
    <border>
      <left style="hair">
        <color indexed="64"/>
      </left>
      <right style="medium">
        <color indexed="64"/>
      </right>
      <top/>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hair">
        <color indexed="64"/>
      </left>
      <right style="hair">
        <color indexed="64"/>
      </right>
      <top style="medium">
        <color indexed="64"/>
      </top>
      <bottom style="hair">
        <color indexed="64"/>
      </bottom>
      <diagonal/>
    </border>
    <border>
      <left style="thin">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indexed="64"/>
      </right>
      <top style="medium">
        <color indexed="64"/>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hair">
        <color indexed="64"/>
      </top>
      <bottom style="hair">
        <color indexed="64"/>
      </bottom>
      <diagonal/>
    </border>
    <border>
      <left style="thin">
        <color indexed="64"/>
      </left>
      <right style="thin">
        <color indexed="64"/>
      </right>
      <top/>
      <bottom style="hair">
        <color indexed="64"/>
      </bottom>
      <diagonal/>
    </border>
    <border>
      <left/>
      <right/>
      <top style="thin">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hair">
        <color indexed="64"/>
      </right>
      <top/>
      <bottom/>
      <diagonal/>
    </border>
    <border>
      <left style="hair">
        <color indexed="64"/>
      </left>
      <right style="medium">
        <color indexed="64"/>
      </right>
      <top style="medium">
        <color indexed="64"/>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top style="thin">
        <color indexed="64"/>
      </top>
      <bottom/>
      <diagonal/>
    </border>
    <border>
      <left style="hair">
        <color indexed="64"/>
      </left>
      <right/>
      <top style="hair">
        <color indexed="64"/>
      </top>
      <bottom/>
      <diagonal/>
    </border>
    <border>
      <left style="hair">
        <color indexed="64"/>
      </left>
      <right/>
      <top/>
      <bottom style="hair">
        <color indexed="64"/>
      </bottom>
      <diagonal/>
    </border>
    <border>
      <left style="hair">
        <color indexed="64"/>
      </left>
      <right/>
      <top/>
      <bottom style="thin">
        <color indexed="64"/>
      </bottom>
      <diagonal/>
    </border>
    <border>
      <left/>
      <right style="hair">
        <color indexed="64"/>
      </right>
      <top/>
      <bottom style="hair">
        <color indexed="64"/>
      </bottom>
      <diagonal/>
    </border>
    <border>
      <left/>
      <right style="hair">
        <color indexed="64"/>
      </right>
      <top style="hair">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right/>
      <top style="hair">
        <color indexed="64"/>
      </top>
      <bottom/>
      <diagonal/>
    </border>
    <border>
      <left style="hair">
        <color indexed="64"/>
      </left>
      <right/>
      <top style="thin">
        <color indexed="64"/>
      </top>
      <bottom style="thin">
        <color indexed="64"/>
      </bottom>
      <diagonal/>
    </border>
    <border>
      <left style="thin">
        <color indexed="64"/>
      </left>
      <right/>
      <top/>
      <bottom style="hair">
        <color indexed="64"/>
      </bottom>
      <diagonal/>
    </border>
    <border>
      <left/>
      <right style="hair">
        <color indexed="64"/>
      </right>
      <top/>
      <bottom style="thin">
        <color indexed="64"/>
      </bottom>
      <diagonal/>
    </border>
  </borders>
  <cellStyleXfs count="46">
    <xf numFmtId="0" fontId="0" fillId="0" borderId="0"/>
    <xf numFmtId="0" fontId="44" fillId="2" borderId="0" applyNumberFormat="0" applyBorder="0" applyAlignment="0" applyProtection="0"/>
    <xf numFmtId="0" fontId="44" fillId="3" borderId="0" applyNumberFormat="0" applyBorder="0" applyAlignment="0" applyProtection="0"/>
    <xf numFmtId="0" fontId="44" fillId="4" borderId="0" applyNumberFormat="0" applyBorder="0" applyAlignment="0" applyProtection="0"/>
    <xf numFmtId="0" fontId="44" fillId="5" borderId="0" applyNumberFormat="0" applyBorder="0" applyAlignment="0" applyProtection="0"/>
    <xf numFmtId="0" fontId="44" fillId="21" borderId="0" applyNumberFormat="0" applyBorder="0" applyAlignment="0" applyProtection="0"/>
    <xf numFmtId="0" fontId="44" fillId="22" borderId="0" applyNumberFormat="0" applyBorder="0" applyAlignment="0" applyProtection="0"/>
    <xf numFmtId="0" fontId="44" fillId="23" borderId="0" applyNumberFormat="0" applyBorder="0" applyAlignment="0" applyProtection="0"/>
    <xf numFmtId="0" fontId="44" fillId="24" borderId="0" applyNumberFormat="0" applyBorder="0" applyAlignment="0" applyProtection="0"/>
    <xf numFmtId="0" fontId="44" fillId="6" borderId="0" applyNumberFormat="0" applyBorder="0" applyAlignment="0" applyProtection="0"/>
    <xf numFmtId="0" fontId="44" fillId="25" borderId="0" applyNumberFormat="0" applyBorder="0" applyAlignment="0" applyProtection="0"/>
    <xf numFmtId="0" fontId="44" fillId="26" borderId="0" applyNumberFormat="0" applyBorder="0" applyAlignment="0" applyProtection="0"/>
    <xf numFmtId="0" fontId="44" fillId="27" borderId="0" applyNumberFormat="0" applyBorder="0" applyAlignment="0" applyProtection="0"/>
    <xf numFmtId="0" fontId="45" fillId="28" borderId="0" applyNumberFormat="0" applyBorder="0" applyAlignment="0" applyProtection="0"/>
    <xf numFmtId="0" fontId="45" fillId="29" borderId="0" applyNumberFormat="0" applyBorder="0" applyAlignment="0" applyProtection="0"/>
    <xf numFmtId="0" fontId="45" fillId="6" borderId="0" applyNumberFormat="0" applyBorder="0" applyAlignment="0" applyProtection="0"/>
    <xf numFmtId="0" fontId="45" fillId="7" borderId="0" applyNumberFormat="0" applyBorder="0" applyAlignment="0" applyProtection="0"/>
    <xf numFmtId="0" fontId="45" fillId="30" borderId="0" applyNumberFormat="0" applyBorder="0" applyAlignment="0" applyProtection="0"/>
    <xf numFmtId="0" fontId="45" fillId="8" borderId="0" applyNumberFormat="0" applyBorder="0" applyAlignment="0" applyProtection="0"/>
    <xf numFmtId="0" fontId="46" fillId="31" borderId="0" applyNumberFormat="0" applyBorder="0" applyAlignment="0" applyProtection="0"/>
    <xf numFmtId="0" fontId="47" fillId="32" borderId="106" applyNumberFormat="0" applyAlignment="0" applyProtection="0"/>
    <xf numFmtId="0" fontId="48" fillId="33" borderId="107" applyNumberFormat="0" applyAlignment="0" applyProtection="0"/>
    <xf numFmtId="0" fontId="49" fillId="0" borderId="108" applyNumberFormat="0" applyFill="0" applyAlignment="0" applyProtection="0"/>
    <xf numFmtId="0" fontId="45" fillId="34" borderId="0" applyNumberFormat="0" applyBorder="0" applyAlignment="0" applyProtection="0"/>
    <xf numFmtId="0" fontId="45" fillId="35" borderId="0" applyNumberFormat="0" applyBorder="0" applyAlignment="0" applyProtection="0"/>
    <xf numFmtId="0" fontId="45" fillId="36" borderId="0" applyNumberFormat="0" applyBorder="0" applyAlignment="0" applyProtection="0"/>
    <xf numFmtId="0" fontId="45" fillId="37" borderId="0" applyNumberFormat="0" applyBorder="0" applyAlignment="0" applyProtection="0"/>
    <xf numFmtId="0" fontId="45" fillId="38" borderId="0" applyNumberFormat="0" applyBorder="0" applyAlignment="0" applyProtection="0"/>
    <xf numFmtId="0" fontId="45" fillId="39" borderId="0" applyNumberFormat="0" applyBorder="0" applyAlignment="0" applyProtection="0"/>
    <xf numFmtId="0" fontId="50" fillId="40" borderId="106" applyNumberFormat="0" applyAlignment="0" applyProtection="0"/>
    <xf numFmtId="0" fontId="51" fillId="41" borderId="0" applyNumberFormat="0" applyBorder="0" applyAlignment="0" applyProtection="0"/>
    <xf numFmtId="164" fontId="6" fillId="0" borderId="0" applyFont="0" applyFill="0" applyBorder="0" applyAlignment="0" applyProtection="0"/>
    <xf numFmtId="0" fontId="52" fillId="42" borderId="0" applyNumberFormat="0" applyBorder="0" applyAlignment="0" applyProtection="0"/>
    <xf numFmtId="0" fontId="6" fillId="43" borderId="109" applyNumberFormat="0" applyFont="0" applyAlignment="0" applyProtection="0"/>
    <xf numFmtId="0" fontId="53" fillId="32" borderId="110" applyNumberFormat="0" applyAlignment="0" applyProtection="0"/>
    <xf numFmtId="0" fontId="54"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7" fillId="0" borderId="111" applyNumberFormat="0" applyFill="0" applyAlignment="0" applyProtection="0"/>
    <xf numFmtId="0" fontId="58" fillId="0" borderId="112" applyNumberFormat="0" applyFill="0" applyAlignment="0" applyProtection="0"/>
    <xf numFmtId="0" fontId="59" fillId="0" borderId="113" applyNumberFormat="0" applyFill="0" applyAlignment="0" applyProtection="0"/>
    <xf numFmtId="0" fontId="59" fillId="0" borderId="0" applyNumberFormat="0" applyFill="0" applyBorder="0" applyAlignment="0" applyProtection="0"/>
    <xf numFmtId="0" fontId="60" fillId="0" borderId="114" applyNumberFormat="0" applyFill="0" applyAlignment="0" applyProtection="0"/>
    <xf numFmtId="165" fontId="6" fillId="0" borderId="0" applyFont="0" applyFill="0" applyBorder="0" applyAlignment="0" applyProtection="0"/>
    <xf numFmtId="165" fontId="1" fillId="0" borderId="0" applyFont="0" applyFill="0" applyBorder="0" applyAlignment="0" applyProtection="0"/>
    <xf numFmtId="9" fontId="44" fillId="0" borderId="0" applyFont="0" applyFill="0" applyBorder="0" applyAlignment="0" applyProtection="0"/>
  </cellStyleXfs>
  <cellXfs count="959">
    <xf numFmtId="0" fontId="0" fillId="0" borderId="0" xfId="0"/>
    <xf numFmtId="0" fontId="4" fillId="0" borderId="0" xfId="0" applyFont="1" applyBorder="1" applyAlignment="1">
      <alignment horizontal="right"/>
    </xf>
    <xf numFmtId="0" fontId="5" fillId="0" borderId="0" xfId="0" applyFont="1" applyBorder="1" applyAlignment="1">
      <alignment wrapText="1"/>
    </xf>
    <xf numFmtId="4" fontId="5" fillId="0" borderId="0" xfId="0" applyNumberFormat="1" applyFont="1" applyBorder="1" applyAlignment="1">
      <alignment horizontal="left" vertical="center"/>
    </xf>
    <xf numFmtId="0" fontId="11" fillId="9" borderId="1" xfId="0" applyFont="1" applyFill="1" applyBorder="1" applyAlignment="1">
      <alignment vertical="top" wrapText="1"/>
    </xf>
    <xf numFmtId="165" fontId="11" fillId="9" borderId="1" xfId="43" applyFont="1" applyFill="1" applyBorder="1" applyAlignment="1">
      <alignment vertical="top" wrapText="1"/>
    </xf>
    <xf numFmtId="0" fontId="0" fillId="0" borderId="0" xfId="0" applyAlignment="1"/>
    <xf numFmtId="4" fontId="5" fillId="0" borderId="0" xfId="0" applyNumberFormat="1" applyFont="1" applyBorder="1" applyAlignment="1"/>
    <xf numFmtId="0" fontId="5" fillId="0" borderId="0" xfId="0" applyFont="1" applyBorder="1" applyAlignment="1"/>
    <xf numFmtId="0" fontId="5" fillId="0" borderId="0" xfId="0" applyFont="1" applyBorder="1" applyAlignment="1">
      <alignment horizontal="center" wrapText="1"/>
    </xf>
    <xf numFmtId="0" fontId="10" fillId="0" borderId="1" xfId="0" applyFont="1" applyBorder="1" applyAlignment="1">
      <alignment horizontal="center" vertical="top" wrapText="1"/>
    </xf>
    <xf numFmtId="0" fontId="0" fillId="0" borderId="0" xfId="0" applyAlignment="1">
      <alignment horizontal="center"/>
    </xf>
    <xf numFmtId="0" fontId="5" fillId="0" borderId="2" xfId="0" applyFont="1" applyBorder="1" applyAlignment="1">
      <alignment horizontal="center" wrapText="1"/>
    </xf>
    <xf numFmtId="0" fontId="14" fillId="9" borderId="0" xfId="0" applyFont="1" applyFill="1" applyAlignment="1">
      <alignment horizontal="left" vertical="center" wrapText="1"/>
    </xf>
    <xf numFmtId="0" fontId="14" fillId="10" borderId="3" xfId="0" applyFont="1" applyFill="1" applyBorder="1" applyAlignment="1">
      <alignment horizontal="center" vertical="center" wrapText="1"/>
    </xf>
    <xf numFmtId="0" fontId="14" fillId="10" borderId="4" xfId="0" applyFont="1" applyFill="1" applyBorder="1" applyAlignment="1">
      <alignment horizontal="center" vertical="center" wrapText="1"/>
    </xf>
    <xf numFmtId="0" fontId="14" fillId="10" borderId="1" xfId="0" applyFont="1" applyFill="1" applyBorder="1" applyAlignment="1">
      <alignment horizontal="center" vertical="center" wrapText="1"/>
    </xf>
    <xf numFmtId="0" fontId="14" fillId="10" borderId="4" xfId="0" applyFont="1" applyFill="1" applyBorder="1" applyAlignment="1">
      <alignment horizontal="left" vertical="center" wrapText="1"/>
    </xf>
    <xf numFmtId="4" fontId="14" fillId="10" borderId="1" xfId="0" applyNumberFormat="1" applyFont="1" applyFill="1" applyBorder="1" applyAlignment="1">
      <alignment horizontal="left" vertical="center" wrapText="1"/>
    </xf>
    <xf numFmtId="4" fontId="14" fillId="10" borderId="4" xfId="0" applyNumberFormat="1" applyFont="1" applyFill="1" applyBorder="1" applyAlignment="1">
      <alignment horizontal="center" vertical="center" wrapText="1"/>
    </xf>
    <xf numFmtId="4" fontId="14" fillId="10" borderId="5" xfId="31" applyNumberFormat="1" applyFont="1" applyFill="1" applyBorder="1" applyAlignment="1">
      <alignment horizontal="left" vertical="center" wrapText="1"/>
    </xf>
    <xf numFmtId="4" fontId="14" fillId="10" borderId="6" xfId="31" applyNumberFormat="1" applyFont="1" applyFill="1" applyBorder="1" applyAlignment="1">
      <alignment horizontal="left" vertical="center" wrapText="1"/>
    </xf>
    <xf numFmtId="4" fontId="14" fillId="10" borderId="4" xfId="31" applyNumberFormat="1" applyFont="1" applyFill="1" applyBorder="1" applyAlignment="1">
      <alignment horizontal="left" vertical="center" wrapText="1"/>
    </xf>
    <xf numFmtId="4" fontId="14" fillId="10" borderId="1" xfId="0" applyNumberFormat="1" applyFont="1" applyFill="1" applyBorder="1" applyAlignment="1">
      <alignment horizontal="center" vertical="center" wrapText="1"/>
    </xf>
    <xf numFmtId="4" fontId="14" fillId="10" borderId="6" xfId="0" applyNumberFormat="1" applyFont="1" applyFill="1" applyBorder="1" applyAlignment="1">
      <alignment horizontal="center" vertical="center" wrapText="1"/>
    </xf>
    <xf numFmtId="0" fontId="20" fillId="0" borderId="0" xfId="0" applyFont="1" applyAlignment="1"/>
    <xf numFmtId="0" fontId="10" fillId="0" borderId="0" xfId="0" applyFont="1" applyAlignment="1">
      <alignment horizontal="right" wrapText="1"/>
    </xf>
    <xf numFmtId="0" fontId="17" fillId="0" borderId="0" xfId="0" applyFont="1" applyFill="1" applyAlignment="1"/>
    <xf numFmtId="0" fontId="18" fillId="9" borderId="7" xfId="0" applyFont="1" applyFill="1" applyBorder="1" applyAlignment="1">
      <alignment vertical="top" wrapText="1"/>
    </xf>
    <xf numFmtId="165" fontId="18" fillId="9" borderId="7" xfId="43" applyFont="1" applyFill="1" applyBorder="1" applyAlignment="1">
      <alignment vertical="top" wrapText="1"/>
    </xf>
    <xf numFmtId="165" fontId="18" fillId="0" borderId="7" xfId="43" applyFont="1" applyBorder="1" applyAlignment="1">
      <alignment horizontal="right" vertical="top" wrapText="1"/>
    </xf>
    <xf numFmtId="0" fontId="19" fillId="0" borderId="1" xfId="0" applyFont="1" applyBorder="1" applyAlignment="1">
      <alignment horizontal="center" vertical="top" wrapText="1"/>
    </xf>
    <xf numFmtId="0" fontId="18" fillId="9" borderId="1" xfId="0" applyFont="1" applyFill="1" applyBorder="1" applyAlignment="1">
      <alignment vertical="top" wrapText="1"/>
    </xf>
    <xf numFmtId="165" fontId="18" fillId="9" borderId="1" xfId="43" applyFont="1" applyFill="1" applyBorder="1" applyAlignment="1">
      <alignment vertical="top" wrapText="1"/>
    </xf>
    <xf numFmtId="0" fontId="18" fillId="0" borderId="1" xfId="0" applyFont="1" applyBorder="1" applyAlignment="1">
      <alignment horizontal="center" vertical="top" wrapText="1"/>
    </xf>
    <xf numFmtId="165" fontId="18" fillId="0" borderId="1" xfId="43" applyFont="1" applyBorder="1" applyAlignment="1">
      <alignment horizontal="right" vertical="top" wrapText="1"/>
    </xf>
    <xf numFmtId="0" fontId="19" fillId="9" borderId="1" xfId="0" applyFont="1" applyFill="1" applyBorder="1" applyAlignment="1">
      <alignment horizontal="center" vertical="top" wrapText="1"/>
    </xf>
    <xf numFmtId="165" fontId="18" fillId="9" borderId="7" xfId="43" applyFont="1" applyFill="1" applyBorder="1" applyAlignment="1">
      <alignment horizontal="right" vertical="top" wrapText="1"/>
    </xf>
    <xf numFmtId="4" fontId="21" fillId="0" borderId="0" xfId="0" applyNumberFormat="1" applyFont="1" applyAlignment="1">
      <alignment horizontal="right"/>
    </xf>
    <xf numFmtId="0" fontId="21" fillId="0" borderId="0" xfId="0" applyFont="1"/>
    <xf numFmtId="0" fontId="22" fillId="0" borderId="0" xfId="0" applyFont="1"/>
    <xf numFmtId="10" fontId="0" fillId="0" borderId="0" xfId="0" applyNumberFormat="1"/>
    <xf numFmtId="0" fontId="21" fillId="11" borderId="10" xfId="0" applyFont="1" applyFill="1" applyBorder="1"/>
    <xf numFmtId="0" fontId="0" fillId="11" borderId="10" xfId="0" applyFill="1" applyBorder="1"/>
    <xf numFmtId="0" fontId="0" fillId="11" borderId="0" xfId="0" applyFill="1" applyBorder="1" applyAlignment="1">
      <alignment horizontal="left"/>
    </xf>
    <xf numFmtId="10" fontId="0" fillId="11" borderId="11" xfId="0" applyNumberFormat="1" applyFill="1" applyBorder="1"/>
    <xf numFmtId="0" fontId="0" fillId="11" borderId="12" xfId="0" applyFill="1" applyBorder="1"/>
    <xf numFmtId="10" fontId="0" fillId="11" borderId="13" xfId="0" applyNumberFormat="1" applyFill="1" applyBorder="1"/>
    <xf numFmtId="4" fontId="21" fillId="11" borderId="0" xfId="0" applyNumberFormat="1" applyFont="1" applyFill="1" applyBorder="1" applyAlignment="1">
      <alignment horizontal="right"/>
    </xf>
    <xf numFmtId="0" fontId="2" fillId="9" borderId="14" xfId="0" applyFont="1" applyFill="1" applyBorder="1" applyAlignment="1">
      <alignment wrapText="1"/>
    </xf>
    <xf numFmtId="0" fontId="4" fillId="9" borderId="0" xfId="0" applyFont="1" applyFill="1" applyBorder="1" applyAlignment="1">
      <alignment horizontal="center"/>
    </xf>
    <xf numFmtId="0" fontId="5" fillId="9" borderId="0" xfId="0" applyFont="1" applyFill="1" applyBorder="1" applyAlignment="1">
      <alignment horizontal="left"/>
    </xf>
    <xf numFmtId="0" fontId="5" fillId="9" borderId="0" xfId="0" applyFont="1" applyFill="1" applyBorder="1" applyAlignment="1">
      <alignment horizontal="right" wrapText="1"/>
    </xf>
    <xf numFmtId="166" fontId="5" fillId="9" borderId="0" xfId="0" applyNumberFormat="1" applyFont="1" applyFill="1" applyBorder="1" applyAlignment="1">
      <alignment horizontal="right" wrapText="1"/>
    </xf>
    <xf numFmtId="4" fontId="5" fillId="9" borderId="0" xfId="0" applyNumberFormat="1" applyFont="1" applyFill="1" applyBorder="1" applyAlignment="1"/>
    <xf numFmtId="0" fontId="5" fillId="9" borderId="0" xfId="0" applyFont="1" applyFill="1" applyBorder="1" applyAlignment="1"/>
    <xf numFmtId="0" fontId="20" fillId="9" borderId="0" xfId="0" applyFont="1" applyFill="1" applyBorder="1" applyAlignment="1"/>
    <xf numFmtId="0" fontId="4" fillId="9" borderId="0" xfId="0" applyFont="1" applyFill="1" applyBorder="1" applyAlignment="1">
      <alignment horizontal="right"/>
    </xf>
    <xf numFmtId="17" fontId="5" fillId="9" borderId="0" xfId="0" applyNumberFormat="1" applyFont="1" applyFill="1" applyBorder="1" applyAlignment="1">
      <alignment horizontal="left"/>
    </xf>
    <xf numFmtId="17" fontId="5" fillId="9" borderId="15" xfId="0" applyNumberFormat="1" applyFont="1" applyFill="1" applyBorder="1" applyAlignment="1">
      <alignment horizontal="left"/>
    </xf>
    <xf numFmtId="0" fontId="2" fillId="9" borderId="14" xfId="0" applyFont="1" applyFill="1" applyBorder="1" applyAlignment="1">
      <alignment horizontal="left" wrapText="1"/>
    </xf>
    <xf numFmtId="0" fontId="5" fillId="9" borderId="0" xfId="0" applyNumberFormat="1" applyFont="1" applyFill="1" applyBorder="1" applyAlignment="1">
      <alignment horizontal="right" wrapText="1"/>
    </xf>
    <xf numFmtId="10" fontId="5" fillId="9" borderId="0" xfId="0" applyNumberFormat="1" applyFont="1" applyFill="1" applyBorder="1" applyAlignment="1">
      <alignment horizontal="left" vertical="center" wrapText="1"/>
    </xf>
    <xf numFmtId="10" fontId="5" fillId="9" borderId="15" xfId="0" applyNumberFormat="1" applyFont="1" applyFill="1" applyBorder="1" applyAlignment="1">
      <alignment horizontal="left" vertical="center" wrapText="1"/>
    </xf>
    <xf numFmtId="0" fontId="10" fillId="9" borderId="14" xfId="0" applyFont="1" applyFill="1" applyBorder="1" applyAlignment="1">
      <alignment horizontal="right" wrapText="1"/>
    </xf>
    <xf numFmtId="0" fontId="4" fillId="9" borderId="0" xfId="0" applyFont="1" applyFill="1" applyBorder="1" applyAlignment="1">
      <alignment horizontal="center" vertical="center" wrapText="1"/>
    </xf>
    <xf numFmtId="0" fontId="4" fillId="9" borderId="0" xfId="0" applyNumberFormat="1" applyFont="1" applyFill="1" applyBorder="1" applyAlignment="1">
      <alignment horizontal="center" vertical="center" wrapText="1"/>
    </xf>
    <xf numFmtId="0" fontId="10" fillId="9" borderId="16" xfId="0" applyFont="1" applyFill="1" applyBorder="1" applyAlignment="1">
      <alignment horizontal="right" wrapText="1"/>
    </xf>
    <xf numFmtId="0" fontId="4" fillId="9" borderId="17" xfId="0" applyFont="1" applyFill="1" applyBorder="1" applyAlignment="1">
      <alignment horizontal="center"/>
    </xf>
    <xf numFmtId="0" fontId="4" fillId="9" borderId="17" xfId="0" applyFont="1" applyFill="1" applyBorder="1" applyAlignment="1">
      <alignment horizontal="center" vertical="center" wrapText="1"/>
    </xf>
    <xf numFmtId="0" fontId="4" fillId="9" borderId="17" xfId="0" applyNumberFormat="1" applyFont="1" applyFill="1" applyBorder="1" applyAlignment="1">
      <alignment horizontal="center" vertical="center" wrapText="1"/>
    </xf>
    <xf numFmtId="4" fontId="5" fillId="9" borderId="17" xfId="0" applyNumberFormat="1" applyFont="1" applyFill="1" applyBorder="1" applyAlignment="1"/>
    <xf numFmtId="0" fontId="5" fillId="9" borderId="17" xfId="0" applyFont="1" applyFill="1" applyBorder="1" applyAlignment="1"/>
    <xf numFmtId="0" fontId="20" fillId="9" borderId="17" xfId="0" applyFont="1" applyFill="1" applyBorder="1" applyAlignment="1"/>
    <xf numFmtId="0" fontId="4" fillId="9" borderId="17" xfId="0" applyFont="1" applyFill="1" applyBorder="1" applyAlignment="1">
      <alignment horizontal="right"/>
    </xf>
    <xf numFmtId="17" fontId="5" fillId="9" borderId="17" xfId="0" applyNumberFormat="1" applyFont="1" applyFill="1" applyBorder="1" applyAlignment="1">
      <alignment horizontal="left"/>
    </xf>
    <xf numFmtId="10" fontId="5" fillId="9" borderId="18" xfId="0" applyNumberFormat="1" applyFont="1" applyFill="1" applyBorder="1" applyAlignment="1">
      <alignment horizontal="left"/>
    </xf>
    <xf numFmtId="0" fontId="0" fillId="0" borderId="19" xfId="0" applyBorder="1"/>
    <xf numFmtId="4" fontId="0" fillId="0" borderId="6" xfId="0" applyNumberFormat="1" applyBorder="1"/>
    <xf numFmtId="4" fontId="0" fillId="0" borderId="0" xfId="0" applyNumberFormat="1"/>
    <xf numFmtId="0" fontId="0" fillId="0" borderId="0" xfId="0" applyFill="1"/>
    <xf numFmtId="0" fontId="0" fillId="0" borderId="4" xfId="0" applyBorder="1" applyAlignment="1">
      <alignment horizontal="center"/>
    </xf>
    <xf numFmtId="0" fontId="0" fillId="0" borderId="25" xfId="0" applyBorder="1" applyAlignment="1">
      <alignment horizontal="center"/>
    </xf>
    <xf numFmtId="0" fontId="0" fillId="0" borderId="26" xfId="0" applyBorder="1" applyAlignment="1">
      <alignment horizontal="center"/>
    </xf>
    <xf numFmtId="4" fontId="0" fillId="0" borderId="0" xfId="0" applyNumberFormat="1" applyAlignment="1"/>
    <xf numFmtId="0" fontId="18" fillId="12" borderId="1" xfId="0" applyFont="1" applyFill="1" applyBorder="1" applyAlignment="1">
      <alignment horizontal="center" vertical="top" wrapText="1"/>
    </xf>
    <xf numFmtId="0" fontId="0" fillId="0" borderId="0" xfId="0" applyAlignment="1">
      <alignment wrapText="1"/>
    </xf>
    <xf numFmtId="0" fontId="0" fillId="0" borderId="29" xfId="0" applyBorder="1" applyAlignment="1">
      <alignment horizontal="center" wrapText="1"/>
    </xf>
    <xf numFmtId="0" fontId="0" fillId="0" borderId="24" xfId="0" applyBorder="1" applyAlignment="1">
      <alignment horizontal="center" wrapText="1"/>
    </xf>
    <xf numFmtId="10" fontId="0" fillId="0" borderId="19" xfId="0" applyNumberFormat="1" applyBorder="1"/>
    <xf numFmtId="4" fontId="0" fillId="0" borderId="30" xfId="0" applyNumberFormat="1" applyBorder="1" applyAlignment="1">
      <alignment horizontal="center" wrapText="1"/>
    </xf>
    <xf numFmtId="0" fontId="24" fillId="0" borderId="0" xfId="0" applyFont="1"/>
    <xf numFmtId="0" fontId="24" fillId="0" borderId="0" xfId="0" applyFont="1" applyBorder="1"/>
    <xf numFmtId="0" fontId="17" fillId="9" borderId="14" xfId="0" applyFont="1" applyFill="1" applyBorder="1" applyAlignment="1">
      <alignment horizontal="center" wrapText="1"/>
    </xf>
    <xf numFmtId="0" fontId="17" fillId="9" borderId="0" xfId="0" applyFont="1" applyFill="1" applyBorder="1" applyAlignment="1">
      <alignment horizontal="left"/>
    </xf>
    <xf numFmtId="0" fontId="17" fillId="9" borderId="0" xfId="0" applyNumberFormat="1" applyFont="1" applyFill="1" applyBorder="1" applyAlignment="1">
      <alignment horizontal="right" wrapText="1"/>
    </xf>
    <xf numFmtId="4" fontId="17" fillId="9" borderId="0" xfId="0" applyNumberFormat="1" applyFont="1" applyFill="1" applyBorder="1" applyAlignment="1"/>
    <xf numFmtId="0" fontId="17" fillId="9" borderId="0" xfId="0" applyFont="1" applyFill="1" applyBorder="1" applyAlignment="1"/>
    <xf numFmtId="4" fontId="24" fillId="0" borderId="0" xfId="0" applyNumberFormat="1" applyFont="1" applyBorder="1"/>
    <xf numFmtId="0" fontId="24" fillId="0" borderId="15" xfId="0" applyFont="1" applyBorder="1"/>
    <xf numFmtId="0" fontId="13" fillId="9" borderId="14" xfId="0" applyFont="1" applyFill="1" applyBorder="1" applyAlignment="1">
      <alignment horizontal="center" wrapText="1"/>
    </xf>
    <xf numFmtId="0" fontId="13" fillId="9" borderId="0" xfId="0" applyNumberFormat="1" applyFont="1" applyFill="1" applyBorder="1" applyAlignment="1">
      <alignment horizontal="center" vertical="center" wrapText="1"/>
    </xf>
    <xf numFmtId="0" fontId="13" fillId="9" borderId="16" xfId="0" applyFont="1" applyFill="1" applyBorder="1" applyAlignment="1">
      <alignment horizontal="center" wrapText="1"/>
    </xf>
    <xf numFmtId="0" fontId="13" fillId="9" borderId="17" xfId="0" applyNumberFormat="1" applyFont="1" applyFill="1" applyBorder="1" applyAlignment="1">
      <alignment horizontal="center" vertical="center" wrapText="1"/>
    </xf>
    <xf numFmtId="4" fontId="17" fillId="9" borderId="17" xfId="0" applyNumberFormat="1" applyFont="1" applyFill="1" applyBorder="1" applyAlignment="1"/>
    <xf numFmtId="0" fontId="17" fillId="9" borderId="17" xfId="0" applyFont="1" applyFill="1" applyBorder="1" applyAlignment="1"/>
    <xf numFmtId="0" fontId="24" fillId="0" borderId="17" xfId="0" applyFont="1" applyBorder="1"/>
    <xf numFmtId="4" fontId="24" fillId="0" borderId="17" xfId="0" applyNumberFormat="1" applyFont="1" applyBorder="1"/>
    <xf numFmtId="0" fontId="24" fillId="0" borderId="18" xfId="0" applyFont="1" applyBorder="1"/>
    <xf numFmtId="0" fontId="13" fillId="9" borderId="0" xfId="0" applyFont="1" applyFill="1" applyBorder="1" applyAlignment="1">
      <alignment horizontal="left" wrapText="1"/>
    </xf>
    <xf numFmtId="0" fontId="13" fillId="9" borderId="17" xfId="0" applyFont="1" applyFill="1" applyBorder="1" applyAlignment="1">
      <alignment horizontal="left" wrapText="1"/>
    </xf>
    <xf numFmtId="0" fontId="2" fillId="9" borderId="24" xfId="0" applyFont="1" applyFill="1" applyBorder="1" applyAlignment="1">
      <alignment vertical="top" wrapText="1"/>
    </xf>
    <xf numFmtId="0" fontId="2" fillId="9" borderId="4" xfId="0" applyFont="1" applyFill="1" applyBorder="1" applyAlignment="1">
      <alignment vertical="top" wrapText="1"/>
    </xf>
    <xf numFmtId="165" fontId="18" fillId="9" borderId="4" xfId="43" applyFont="1" applyFill="1" applyBorder="1" applyAlignment="1">
      <alignment horizontal="right" vertical="top" wrapText="1"/>
    </xf>
    <xf numFmtId="2" fontId="2" fillId="9" borderId="4" xfId="0" applyNumberFormat="1" applyFont="1" applyFill="1" applyBorder="1" applyAlignment="1">
      <alignment vertical="top" wrapText="1"/>
    </xf>
    <xf numFmtId="2" fontId="2" fillId="0" borderId="4" xfId="0" applyNumberFormat="1" applyFont="1" applyBorder="1" applyAlignment="1">
      <alignment horizontal="right" vertical="top" wrapText="1"/>
    </xf>
    <xf numFmtId="2" fontId="10" fillId="0" borderId="4" xfId="0" applyNumberFormat="1" applyFont="1" applyBorder="1" applyAlignment="1">
      <alignment vertical="top" wrapText="1"/>
    </xf>
    <xf numFmtId="2" fontId="10" fillId="9" borderId="4" xfId="0" applyNumberFormat="1" applyFont="1" applyFill="1" applyBorder="1" applyAlignment="1">
      <alignment horizontal="right" vertical="top" wrapText="1"/>
    </xf>
    <xf numFmtId="2" fontId="8" fillId="0" borderId="4" xfId="0" applyNumberFormat="1" applyFont="1" applyBorder="1" applyAlignment="1">
      <alignment horizontal="right" vertical="top" wrapText="1"/>
    </xf>
    <xf numFmtId="2" fontId="9" fillId="9" borderId="4" xfId="0" applyNumberFormat="1" applyFont="1" applyFill="1" applyBorder="1" applyAlignment="1">
      <alignment horizontal="right" vertical="top" wrapText="1"/>
    </xf>
    <xf numFmtId="0" fontId="0" fillId="0" borderId="4" xfId="0" applyBorder="1" applyAlignment="1"/>
    <xf numFmtId="0" fontId="0" fillId="0" borderId="25" xfId="0" applyBorder="1" applyAlignment="1"/>
    <xf numFmtId="0" fontId="2" fillId="9" borderId="23" xfId="0" applyFont="1" applyFill="1" applyBorder="1" applyAlignment="1">
      <alignment vertical="top" wrapText="1"/>
    </xf>
    <xf numFmtId="0" fontId="2" fillId="9" borderId="8" xfId="0" applyFont="1" applyFill="1" applyBorder="1" applyAlignment="1">
      <alignment vertical="top" wrapText="1"/>
    </xf>
    <xf numFmtId="0" fontId="2" fillId="9" borderId="22" xfId="0" applyFont="1" applyFill="1" applyBorder="1" applyAlignment="1">
      <alignment vertical="top" wrapText="1"/>
    </xf>
    <xf numFmtId="0" fontId="18" fillId="9" borderId="6" xfId="0" applyFont="1" applyFill="1" applyBorder="1" applyAlignment="1">
      <alignment vertical="top" wrapText="1"/>
    </xf>
    <xf numFmtId="0" fontId="18" fillId="9" borderId="19" xfId="0" applyFont="1" applyFill="1" applyBorder="1" applyAlignment="1">
      <alignment vertical="top" wrapText="1"/>
    </xf>
    <xf numFmtId="165" fontId="18" fillId="9" borderId="6" xfId="43" applyFont="1" applyFill="1" applyBorder="1" applyAlignment="1">
      <alignment horizontal="right" vertical="top" wrapText="1"/>
    </xf>
    <xf numFmtId="165" fontId="18" fillId="9" borderId="19" xfId="43" applyFont="1" applyFill="1" applyBorder="1" applyAlignment="1">
      <alignment horizontal="right" vertical="top" wrapText="1"/>
    </xf>
    <xf numFmtId="165" fontId="18" fillId="9" borderId="6" xfId="43" applyFont="1" applyFill="1" applyBorder="1" applyAlignment="1">
      <alignment vertical="top" wrapText="1"/>
    </xf>
    <xf numFmtId="165" fontId="18" fillId="9" borderId="19" xfId="43" applyFont="1" applyFill="1" applyBorder="1" applyAlignment="1">
      <alignment vertical="top" wrapText="1"/>
    </xf>
    <xf numFmtId="165" fontId="18" fillId="0" borderId="6" xfId="43" applyFont="1" applyBorder="1" applyAlignment="1">
      <alignment horizontal="right" vertical="top" wrapText="1"/>
    </xf>
    <xf numFmtId="165" fontId="18" fillId="0" borderId="19" xfId="43" applyFont="1" applyBorder="1" applyAlignment="1">
      <alignment horizontal="right" vertical="top" wrapText="1"/>
    </xf>
    <xf numFmtId="165" fontId="18" fillId="0" borderId="3" xfId="43" applyFont="1" applyBorder="1" applyAlignment="1">
      <alignment horizontal="right" vertical="top" wrapText="1"/>
    </xf>
    <xf numFmtId="165" fontId="18" fillId="0" borderId="31" xfId="43" applyFont="1" applyBorder="1" applyAlignment="1">
      <alignment horizontal="right" vertical="top" wrapText="1"/>
    </xf>
    <xf numFmtId="165" fontId="18" fillId="9" borderId="3" xfId="43" applyFont="1" applyFill="1" applyBorder="1" applyAlignment="1">
      <alignment vertical="top" wrapText="1"/>
    </xf>
    <xf numFmtId="165" fontId="18" fillId="9" borderId="31" xfId="43" applyFont="1" applyFill="1" applyBorder="1" applyAlignment="1">
      <alignment vertical="top" wrapText="1"/>
    </xf>
    <xf numFmtId="4" fontId="14" fillId="10" borderId="19" xfId="0" applyNumberFormat="1" applyFont="1" applyFill="1" applyBorder="1" applyAlignment="1">
      <alignment horizontal="center" vertical="center" wrapText="1"/>
    </xf>
    <xf numFmtId="4" fontId="14" fillId="10" borderId="3" xfId="31" applyNumberFormat="1" applyFont="1" applyFill="1" applyBorder="1" applyAlignment="1">
      <alignment horizontal="left" vertical="center" wrapText="1"/>
    </xf>
    <xf numFmtId="4" fontId="14" fillId="10" borderId="19" xfId="31" applyNumberFormat="1" applyFont="1" applyFill="1" applyBorder="1" applyAlignment="1">
      <alignment horizontal="left" vertical="center" wrapText="1"/>
    </xf>
    <xf numFmtId="165" fontId="11" fillId="9" borderId="3" xfId="43" applyFont="1" applyFill="1" applyBorder="1" applyAlignment="1">
      <alignment vertical="top" wrapText="1"/>
    </xf>
    <xf numFmtId="165" fontId="11" fillId="9" borderId="31" xfId="43" applyFont="1" applyFill="1" applyBorder="1" applyAlignment="1">
      <alignment vertical="top" wrapText="1"/>
    </xf>
    <xf numFmtId="165" fontId="11" fillId="9" borderId="32" xfId="43" applyFont="1" applyFill="1" applyBorder="1" applyAlignment="1">
      <alignment vertical="top" wrapText="1"/>
    </xf>
    <xf numFmtId="165" fontId="11" fillId="9" borderId="33" xfId="43" applyFont="1" applyFill="1" applyBorder="1" applyAlignment="1">
      <alignment vertical="top" wrapText="1"/>
    </xf>
    <xf numFmtId="165" fontId="11" fillId="9" borderId="34" xfId="43" applyFont="1" applyFill="1" applyBorder="1" applyAlignment="1">
      <alignment vertical="top" wrapText="1"/>
    </xf>
    <xf numFmtId="165" fontId="18" fillId="9" borderId="1" xfId="43" applyFont="1" applyFill="1" applyBorder="1" applyAlignment="1">
      <alignment horizontal="right" vertical="top" wrapText="1"/>
    </xf>
    <xf numFmtId="0" fontId="18" fillId="9" borderId="4" xfId="0" applyFont="1" applyFill="1" applyBorder="1" applyAlignment="1">
      <alignment vertical="top" wrapText="1"/>
    </xf>
    <xf numFmtId="165" fontId="18" fillId="9" borderId="4" xfId="43" applyFont="1" applyFill="1" applyBorder="1" applyAlignment="1">
      <alignment vertical="top" wrapText="1"/>
    </xf>
    <xf numFmtId="165" fontId="18" fillId="0" borderId="4" xfId="43" applyFont="1" applyBorder="1" applyAlignment="1">
      <alignment horizontal="right" vertical="top" wrapText="1"/>
    </xf>
    <xf numFmtId="0" fontId="18" fillId="9" borderId="4" xfId="0" applyFont="1" applyFill="1" applyBorder="1" applyAlignment="1">
      <alignment horizontal="center" vertical="top" wrapText="1"/>
    </xf>
    <xf numFmtId="165" fontId="11" fillId="9" borderId="4" xfId="43" applyFont="1" applyFill="1" applyBorder="1" applyAlignment="1">
      <alignment vertical="top" wrapText="1"/>
    </xf>
    <xf numFmtId="165" fontId="11" fillId="9" borderId="25" xfId="43" applyFont="1" applyFill="1" applyBorder="1" applyAlignment="1">
      <alignment vertical="top" wrapText="1"/>
    </xf>
    <xf numFmtId="0" fontId="18" fillId="9" borderId="1" xfId="0" applyFont="1" applyFill="1" applyBorder="1" applyAlignment="1">
      <alignment horizontal="center" vertical="top" wrapText="1"/>
    </xf>
    <xf numFmtId="0" fontId="18" fillId="0" borderId="4" xfId="0" applyFont="1" applyBorder="1" applyAlignment="1">
      <alignment horizontal="left" vertical="top" wrapText="1"/>
    </xf>
    <xf numFmtId="0" fontId="19" fillId="9" borderId="4" xfId="0" applyFont="1" applyFill="1" applyBorder="1" applyAlignment="1">
      <alignment horizontal="left" vertical="top" wrapText="1"/>
    </xf>
    <xf numFmtId="0" fontId="11" fillId="9" borderId="4" xfId="0" applyFont="1" applyFill="1" applyBorder="1" applyAlignment="1">
      <alignment vertical="top" wrapText="1"/>
    </xf>
    <xf numFmtId="0" fontId="11" fillId="9" borderId="25" xfId="0" applyFont="1" applyFill="1" applyBorder="1" applyAlignment="1">
      <alignment vertical="top" wrapText="1"/>
    </xf>
    <xf numFmtId="0" fontId="2" fillId="9" borderId="24" xfId="0" applyFont="1" applyFill="1" applyBorder="1" applyAlignment="1">
      <alignment horizontal="center" vertical="top" wrapText="1"/>
    </xf>
    <xf numFmtId="0" fontId="10" fillId="0" borderId="4" xfId="0" applyFont="1" applyBorder="1" applyAlignment="1">
      <alignment horizontal="center" vertical="top" wrapText="1"/>
    </xf>
    <xf numFmtId="0" fontId="18" fillId="0" borderId="4" xfId="0" applyFont="1" applyBorder="1" applyAlignment="1">
      <alignment horizontal="center" vertical="top" wrapText="1"/>
    </xf>
    <xf numFmtId="0" fontId="19" fillId="0" borderId="4" xfId="0" applyFont="1" applyBorder="1" applyAlignment="1">
      <alignment horizontal="center" vertical="top" wrapText="1"/>
    </xf>
    <xf numFmtId="0" fontId="19" fillId="9" borderId="4" xfId="0" applyFont="1" applyFill="1" applyBorder="1" applyAlignment="1">
      <alignment horizontal="center" vertical="top" wrapText="1"/>
    </xf>
    <xf numFmtId="0" fontId="10" fillId="0" borderId="25" xfId="0" applyFont="1" applyBorder="1" applyAlignment="1">
      <alignment horizontal="center" vertical="top" wrapText="1"/>
    </xf>
    <xf numFmtId="0" fontId="2" fillId="9" borderId="35" xfId="0" applyFont="1" applyFill="1" applyBorder="1" applyAlignment="1">
      <alignment vertical="top" wrapText="1"/>
    </xf>
    <xf numFmtId="0" fontId="2" fillId="9" borderId="36" xfId="0" applyFont="1" applyFill="1" applyBorder="1" applyAlignment="1">
      <alignment horizontal="center" vertical="top" wrapText="1"/>
    </xf>
    <xf numFmtId="0" fontId="2" fillId="9" borderId="36" xfId="0" applyFont="1" applyFill="1" applyBorder="1" applyAlignment="1">
      <alignment vertical="top" wrapText="1"/>
    </xf>
    <xf numFmtId="0" fontId="18" fillId="9" borderId="3" xfId="0" applyFont="1" applyFill="1" applyBorder="1" applyAlignment="1">
      <alignment vertical="top" wrapText="1"/>
    </xf>
    <xf numFmtId="0" fontId="18" fillId="9" borderId="3" xfId="0" applyFont="1" applyFill="1" applyBorder="1" applyAlignment="1">
      <alignment horizontal="left" vertical="top" wrapText="1"/>
    </xf>
    <xf numFmtId="0" fontId="18" fillId="0" borderId="3" xfId="0" applyFont="1" applyBorder="1" applyAlignment="1">
      <alignment horizontal="right" vertical="top" wrapText="1"/>
    </xf>
    <xf numFmtId="0" fontId="18" fillId="0" borderId="3" xfId="0" quotePrefix="1" applyFont="1" applyBorder="1" applyAlignment="1">
      <alignment horizontal="right" vertical="top" wrapText="1"/>
    </xf>
    <xf numFmtId="0" fontId="10" fillId="0" borderId="33" xfId="0" applyFont="1" applyBorder="1" applyAlignment="1">
      <alignment horizontal="center" vertical="top" wrapText="1"/>
    </xf>
    <xf numFmtId="0" fontId="11" fillId="9" borderId="33" xfId="0" applyFont="1" applyFill="1" applyBorder="1" applyAlignment="1">
      <alignment vertical="top" wrapText="1"/>
    </xf>
    <xf numFmtId="0" fontId="14" fillId="0" borderId="4" xfId="0" applyFont="1" applyBorder="1" applyAlignment="1">
      <alignment horizontal="left" vertical="center" wrapText="1"/>
    </xf>
    <xf numFmtId="0" fontId="14" fillId="0" borderId="1" xfId="0" applyFont="1" applyBorder="1" applyAlignment="1">
      <alignment horizontal="center" vertical="center" wrapText="1"/>
    </xf>
    <xf numFmtId="0" fontId="11" fillId="9" borderId="3" xfId="0" applyFont="1" applyFill="1" applyBorder="1" applyAlignment="1">
      <alignment vertical="top" wrapText="1"/>
    </xf>
    <xf numFmtId="0" fontId="11" fillId="9" borderId="32" xfId="0" applyFont="1" applyFill="1" applyBorder="1" applyAlignment="1">
      <alignment vertical="top" wrapText="1"/>
    </xf>
    <xf numFmtId="0" fontId="14" fillId="10" borderId="37" xfId="0" applyFont="1" applyFill="1" applyBorder="1" applyAlignment="1">
      <alignment horizontal="center" vertical="center" wrapText="1"/>
    </xf>
    <xf numFmtId="0" fontId="14" fillId="10" borderId="6" xfId="0" applyFont="1" applyFill="1" applyBorder="1" applyAlignment="1">
      <alignment horizontal="center" vertical="center" wrapText="1"/>
    </xf>
    <xf numFmtId="0" fontId="14" fillId="10" borderId="7" xfId="0" applyFont="1" applyFill="1" applyBorder="1" applyAlignment="1">
      <alignment horizontal="center" vertical="center" wrapText="1"/>
    </xf>
    <xf numFmtId="165" fontId="18" fillId="9" borderId="5" xfId="43" applyFont="1" applyFill="1" applyBorder="1" applyAlignment="1">
      <alignment horizontal="right" vertical="top" wrapText="1"/>
    </xf>
    <xf numFmtId="4" fontId="14" fillId="10" borderId="1" xfId="31" applyNumberFormat="1" applyFont="1" applyFill="1" applyBorder="1" applyAlignment="1">
      <alignment horizontal="left" vertical="center" wrapText="1"/>
    </xf>
    <xf numFmtId="4" fontId="14" fillId="10" borderId="7" xfId="0" applyNumberFormat="1" applyFont="1" applyFill="1" applyBorder="1" applyAlignment="1">
      <alignment horizontal="center" vertical="center" wrapText="1"/>
    </xf>
    <xf numFmtId="4" fontId="14" fillId="10" borderId="7" xfId="31" applyNumberFormat="1" applyFont="1" applyFill="1" applyBorder="1" applyAlignment="1">
      <alignment horizontal="left" vertical="center" wrapText="1"/>
    </xf>
    <xf numFmtId="0" fontId="14" fillId="10" borderId="19" xfId="0" applyFont="1" applyFill="1" applyBorder="1" applyAlignment="1">
      <alignment horizontal="left" vertical="center" wrapText="1"/>
    </xf>
    <xf numFmtId="0" fontId="12" fillId="13" borderId="30" xfId="0" applyFont="1" applyFill="1" applyBorder="1" applyAlignment="1">
      <alignment horizontal="center" vertical="center" wrapText="1"/>
    </xf>
    <xf numFmtId="0" fontId="12" fillId="13" borderId="29" xfId="0" applyFont="1" applyFill="1" applyBorder="1" applyAlignment="1">
      <alignment horizontal="center" vertical="center" wrapText="1"/>
    </xf>
    <xf numFmtId="0" fontId="15" fillId="12" borderId="29" xfId="0" applyFont="1" applyFill="1" applyBorder="1" applyAlignment="1">
      <alignment wrapText="1"/>
    </xf>
    <xf numFmtId="0" fontId="16" fillId="14" borderId="3" xfId="0" applyFont="1" applyFill="1" applyBorder="1" applyAlignment="1">
      <alignment horizontal="left" vertical="top" wrapText="1"/>
    </xf>
    <xf numFmtId="0" fontId="13" fillId="14" borderId="4" xfId="0" applyFont="1" applyFill="1" applyBorder="1" applyAlignment="1">
      <alignment horizontal="center" vertical="top" wrapText="1"/>
    </xf>
    <xf numFmtId="0" fontId="13" fillId="14" borderId="1" xfId="0" applyFont="1" applyFill="1" applyBorder="1" applyAlignment="1">
      <alignment horizontal="center" vertical="top" wrapText="1"/>
    </xf>
    <xf numFmtId="0" fontId="16" fillId="14" borderId="4" xfId="0" applyFont="1" applyFill="1" applyBorder="1" applyAlignment="1">
      <alignment vertical="top" wrapText="1"/>
    </xf>
    <xf numFmtId="0" fontId="16" fillId="14" borderId="1" xfId="0" applyFont="1" applyFill="1" applyBorder="1" applyAlignment="1">
      <alignment vertical="top" wrapText="1"/>
    </xf>
    <xf numFmtId="0" fontId="16" fillId="14" borderId="6" xfId="0" applyFont="1" applyFill="1" applyBorder="1" applyAlignment="1">
      <alignment vertical="top" wrapText="1"/>
    </xf>
    <xf numFmtId="0" fontId="16" fillId="14" borderId="7" xfId="0" applyFont="1" applyFill="1" applyBorder="1" applyAlignment="1">
      <alignment vertical="top" wrapText="1"/>
    </xf>
    <xf numFmtId="0" fontId="16" fillId="14" borderId="19" xfId="0" applyFont="1" applyFill="1" applyBorder="1" applyAlignment="1">
      <alignment vertical="top" wrapText="1"/>
    </xf>
    <xf numFmtId="0" fontId="13" fillId="14" borderId="4" xfId="0" applyFont="1" applyFill="1" applyBorder="1" applyAlignment="1">
      <alignment vertical="top" wrapText="1"/>
    </xf>
    <xf numFmtId="165" fontId="13" fillId="14" borderId="4" xfId="0" applyNumberFormat="1" applyFont="1" applyFill="1" applyBorder="1" applyAlignment="1">
      <alignment vertical="top" wrapText="1"/>
    </xf>
    <xf numFmtId="0" fontId="0" fillId="0" borderId="26" xfId="0" applyFill="1" applyBorder="1" applyAlignment="1">
      <alignment horizontal="center"/>
    </xf>
    <xf numFmtId="0" fontId="0" fillId="0" borderId="24" xfId="0" applyFill="1" applyBorder="1" applyAlignment="1">
      <alignment horizontal="center" wrapText="1"/>
    </xf>
    <xf numFmtId="4" fontId="0" fillId="0" borderId="6" xfId="0" applyNumberFormat="1" applyFill="1" applyBorder="1"/>
    <xf numFmtId="0" fontId="0" fillId="0" borderId="4" xfId="0" applyFill="1" applyBorder="1" applyAlignment="1">
      <alignment horizontal="center"/>
    </xf>
    <xf numFmtId="0" fontId="0" fillId="0" borderId="35" xfId="0" applyBorder="1" applyAlignment="1">
      <alignment wrapText="1"/>
    </xf>
    <xf numFmtId="0" fontId="0" fillId="0" borderId="3" xfId="0" applyBorder="1" applyAlignment="1">
      <alignment wrapText="1"/>
    </xf>
    <xf numFmtId="0" fontId="0" fillId="0" borderId="38" xfId="0" applyFill="1" applyBorder="1" applyAlignment="1">
      <alignment wrapText="1"/>
    </xf>
    <xf numFmtId="0" fontId="0" fillId="0" borderId="0" xfId="0" applyBorder="1" applyAlignment="1"/>
    <xf numFmtId="0" fontId="21" fillId="0" borderId="0" xfId="0" applyFont="1" applyAlignment="1">
      <alignment horizontal="center"/>
    </xf>
    <xf numFmtId="0" fontId="21" fillId="0" borderId="0" xfId="0" applyFont="1" applyAlignment="1">
      <alignment wrapText="1"/>
    </xf>
    <xf numFmtId="4" fontId="22" fillId="0" borderId="20" xfId="0" applyNumberFormat="1" applyFont="1" applyBorder="1"/>
    <xf numFmtId="4" fontId="7" fillId="11" borderId="39" xfId="0" applyNumberFormat="1" applyFont="1" applyFill="1" applyBorder="1" applyAlignment="1">
      <alignment horizontal="center"/>
    </xf>
    <xf numFmtId="10" fontId="21" fillId="0" borderId="21" xfId="0" applyNumberFormat="1" applyFont="1" applyBorder="1"/>
    <xf numFmtId="4" fontId="33" fillId="9" borderId="42" xfId="0" applyNumberFormat="1" applyFont="1" applyFill="1" applyBorder="1" applyAlignment="1">
      <alignment horizontal="center" vertical="center" wrapText="1"/>
    </xf>
    <xf numFmtId="0" fontId="33" fillId="9" borderId="43" xfId="0" applyFont="1" applyFill="1" applyBorder="1" applyAlignment="1">
      <alignment horizontal="center" vertical="center" wrapText="1"/>
    </xf>
    <xf numFmtId="0" fontId="33" fillId="9" borderId="44" xfId="0" applyFont="1" applyFill="1" applyBorder="1" applyAlignment="1">
      <alignment horizontal="center" vertical="center" wrapText="1"/>
    </xf>
    <xf numFmtId="0" fontId="33" fillId="0" borderId="7" xfId="0" applyFont="1" applyBorder="1" applyAlignment="1">
      <alignment horizontal="center"/>
    </xf>
    <xf numFmtId="0" fontId="33" fillId="0" borderId="19" xfId="0" applyFont="1" applyBorder="1" applyAlignment="1">
      <alignment horizontal="center"/>
    </xf>
    <xf numFmtId="0" fontId="33" fillId="0" borderId="0" xfId="0" applyFont="1"/>
    <xf numFmtId="4" fontId="33" fillId="0" borderId="0" xfId="0" applyNumberFormat="1" applyFont="1"/>
    <xf numFmtId="0" fontId="33" fillId="0" borderId="45" xfId="0" applyFont="1" applyBorder="1" applyAlignment="1">
      <alignment horizontal="center"/>
    </xf>
    <xf numFmtId="4" fontId="33" fillId="9" borderId="46" xfId="0" applyNumberFormat="1" applyFont="1" applyFill="1" applyBorder="1" applyAlignment="1">
      <alignment horizontal="center" vertical="center"/>
    </xf>
    <xf numFmtId="4" fontId="33" fillId="9" borderId="46" xfId="0" applyNumberFormat="1" applyFont="1" applyFill="1" applyBorder="1" applyAlignment="1">
      <alignment horizontal="center" vertical="center" wrapText="1"/>
    </xf>
    <xf numFmtId="0" fontId="33" fillId="0" borderId="47" xfId="0" applyFont="1" applyBorder="1" applyAlignment="1">
      <alignment horizontal="center"/>
    </xf>
    <xf numFmtId="0" fontId="33" fillId="0" borderId="0" xfId="0" applyFont="1" applyAlignment="1">
      <alignment horizontal="center"/>
    </xf>
    <xf numFmtId="0" fontId="33" fillId="0" borderId="48" xfId="0" applyFont="1" applyBorder="1" applyAlignment="1">
      <alignment horizontal="center" vertical="center" wrapText="1"/>
    </xf>
    <xf numFmtId="0" fontId="33" fillId="0" borderId="49" xfId="0" applyFont="1" applyBorder="1" applyAlignment="1">
      <alignment horizontal="center" vertical="center" wrapText="1"/>
    </xf>
    <xf numFmtId="0" fontId="33" fillId="0" borderId="49" xfId="0" applyFont="1" applyBorder="1" applyAlignment="1">
      <alignment horizontal="center" vertical="center"/>
    </xf>
    <xf numFmtId="0" fontId="33" fillId="0" borderId="50" xfId="0" applyFont="1" applyBorder="1" applyAlignment="1">
      <alignment horizontal="center" vertical="center" wrapText="1"/>
    </xf>
    <xf numFmtId="0" fontId="33" fillId="0" borderId="14" xfId="0" applyFont="1" applyBorder="1"/>
    <xf numFmtId="0" fontId="33" fillId="0" borderId="8" xfId="0" applyFont="1" applyBorder="1"/>
    <xf numFmtId="0" fontId="33" fillId="0" borderId="22" xfId="0" applyFont="1" applyBorder="1"/>
    <xf numFmtId="0" fontId="33" fillId="0" borderId="0" xfId="0" applyFont="1" applyBorder="1"/>
    <xf numFmtId="4" fontId="33" fillId="0" borderId="23" xfId="0" applyNumberFormat="1" applyFont="1" applyBorder="1"/>
    <xf numFmtId="0" fontId="33" fillId="0" borderId="51" xfId="0" applyFont="1" applyBorder="1"/>
    <xf numFmtId="0" fontId="33" fillId="0" borderId="52" xfId="0" applyFont="1" applyBorder="1"/>
    <xf numFmtId="0" fontId="33" fillId="0" borderId="53" xfId="0" applyFont="1" applyBorder="1"/>
    <xf numFmtId="0" fontId="33" fillId="0" borderId="54" xfId="0" applyFont="1" applyBorder="1"/>
    <xf numFmtId="4" fontId="33" fillId="0" borderId="55" xfId="0" applyNumberFormat="1" applyFont="1" applyBorder="1"/>
    <xf numFmtId="0" fontId="33" fillId="0" borderId="56" xfId="0" applyFont="1" applyBorder="1"/>
    <xf numFmtId="0" fontId="33" fillId="0" borderId="57" xfId="0" applyFont="1" applyBorder="1"/>
    <xf numFmtId="0" fontId="33" fillId="0" borderId="7" xfId="0" applyFont="1" applyBorder="1"/>
    <xf numFmtId="0" fontId="33" fillId="0" borderId="58" xfId="0" applyFont="1" applyBorder="1"/>
    <xf numFmtId="4" fontId="33" fillId="0" borderId="59" xfId="0" applyNumberFormat="1" applyFont="1" applyBorder="1"/>
    <xf numFmtId="0" fontId="33" fillId="9" borderId="6" xfId="0" applyFont="1" applyFill="1" applyBorder="1"/>
    <xf numFmtId="2" fontId="33" fillId="0" borderId="7" xfId="0" applyNumberFormat="1" applyFont="1" applyBorder="1"/>
    <xf numFmtId="2" fontId="33" fillId="0" borderId="19" xfId="0" applyNumberFormat="1" applyFont="1" applyBorder="1"/>
    <xf numFmtId="4" fontId="33" fillId="0" borderId="6" xfId="0" applyNumberFormat="1" applyFont="1" applyBorder="1"/>
    <xf numFmtId="4" fontId="33" fillId="0" borderId="60" xfId="0" applyNumberFormat="1" applyFont="1" applyBorder="1"/>
    <xf numFmtId="0" fontId="33" fillId="9" borderId="20" xfId="0" applyFont="1" applyFill="1" applyBorder="1"/>
    <xf numFmtId="2" fontId="33" fillId="0" borderId="9" xfId="0" applyNumberFormat="1" applyFont="1" applyBorder="1"/>
    <xf numFmtId="2" fontId="33" fillId="0" borderId="21" xfId="0" applyNumberFormat="1" applyFont="1" applyBorder="1"/>
    <xf numFmtId="4" fontId="33" fillId="0" borderId="20" xfId="0" applyNumberFormat="1" applyFont="1" applyBorder="1"/>
    <xf numFmtId="4" fontId="33" fillId="0" borderId="61" xfId="0" applyNumberFormat="1" applyFont="1" applyBorder="1"/>
    <xf numFmtId="0" fontId="33" fillId="0" borderId="16" xfId="0" applyFont="1" applyBorder="1"/>
    <xf numFmtId="0" fontId="33" fillId="9" borderId="62" xfId="0" applyFont="1" applyFill="1" applyBorder="1"/>
    <xf numFmtId="2" fontId="33" fillId="0" borderId="63" xfId="0" applyNumberFormat="1" applyFont="1" applyBorder="1"/>
    <xf numFmtId="2" fontId="33" fillId="0" borderId="64" xfId="0" applyNumberFormat="1" applyFont="1" applyBorder="1"/>
    <xf numFmtId="4" fontId="34" fillId="0" borderId="62" xfId="0" applyNumberFormat="1" applyFont="1" applyBorder="1"/>
    <xf numFmtId="4" fontId="34" fillId="0" borderId="65" xfId="0" applyNumberFormat="1" applyFont="1" applyBorder="1"/>
    <xf numFmtId="2" fontId="33" fillId="0" borderId="66" xfId="0" applyNumberFormat="1" applyFont="1" applyBorder="1"/>
    <xf numFmtId="4" fontId="33" fillId="0" borderId="67" xfId="0" applyNumberFormat="1" applyFont="1" applyBorder="1"/>
    <xf numFmtId="0" fontId="33" fillId="0" borderId="66" xfId="0" applyFont="1" applyBorder="1"/>
    <xf numFmtId="0" fontId="33" fillId="0" borderId="68" xfId="0" applyFont="1" applyBorder="1"/>
    <xf numFmtId="0" fontId="33" fillId="0" borderId="14" xfId="0" applyFont="1" applyBorder="1" applyAlignment="1">
      <alignment wrapText="1"/>
    </xf>
    <xf numFmtId="0" fontId="33" fillId="15" borderId="14" xfId="0" applyFont="1" applyFill="1" applyBorder="1"/>
    <xf numFmtId="0" fontId="33" fillId="15" borderId="6" xfId="0" applyFont="1" applyFill="1" applyBorder="1"/>
    <xf numFmtId="2" fontId="33" fillId="15" borderId="7" xfId="0" applyNumberFormat="1" applyFont="1" applyFill="1" applyBorder="1"/>
    <xf numFmtId="2" fontId="33" fillId="15" borderId="19" xfId="0" applyNumberFormat="1" applyFont="1" applyFill="1" applyBorder="1"/>
    <xf numFmtId="4" fontId="33" fillId="15" borderId="6" xfId="0" applyNumberFormat="1" applyFont="1" applyFill="1" applyBorder="1"/>
    <xf numFmtId="0" fontId="33" fillId="15" borderId="7" xfId="0" applyFont="1" applyFill="1" applyBorder="1"/>
    <xf numFmtId="0" fontId="33" fillId="15" borderId="58" xfId="0" applyFont="1" applyFill="1" applyBorder="1"/>
    <xf numFmtId="0" fontId="33" fillId="15" borderId="0" xfId="0" applyFont="1" applyFill="1"/>
    <xf numFmtId="0" fontId="33" fillId="15" borderId="57" xfId="0" applyFont="1" applyFill="1" applyBorder="1"/>
    <xf numFmtId="0" fontId="33" fillId="9" borderId="6" xfId="0" applyFont="1" applyFill="1" applyBorder="1" applyAlignment="1">
      <alignment wrapText="1"/>
    </xf>
    <xf numFmtId="4" fontId="34" fillId="0" borderId="7" xfId="0" applyNumberFormat="1" applyFont="1" applyBorder="1"/>
    <xf numFmtId="4" fontId="34" fillId="0" borderId="69" xfId="0" applyNumberFormat="1" applyFont="1" applyBorder="1"/>
    <xf numFmtId="4" fontId="34" fillId="0" borderId="70" xfId="0" applyNumberFormat="1" applyFont="1" applyBorder="1"/>
    <xf numFmtId="4" fontId="34" fillId="0" borderId="71" xfId="0" applyNumberFormat="1" applyFont="1" applyBorder="1"/>
    <xf numFmtId="0" fontId="33" fillId="0" borderId="72" xfId="0" applyFont="1" applyBorder="1"/>
    <xf numFmtId="0" fontId="33" fillId="9" borderId="73" xfId="0" applyFont="1" applyFill="1" applyBorder="1"/>
    <xf numFmtId="2" fontId="33" fillId="0" borderId="51" xfId="0" applyNumberFormat="1" applyFont="1" applyBorder="1"/>
    <xf numFmtId="2" fontId="33" fillId="0" borderId="74" xfId="0" applyNumberFormat="1" applyFont="1" applyBorder="1"/>
    <xf numFmtId="4" fontId="33" fillId="0" borderId="73" xfId="0" applyNumberFormat="1" applyFont="1" applyBorder="1"/>
    <xf numFmtId="0" fontId="33" fillId="0" borderId="0" xfId="0" applyFont="1" applyAlignment="1">
      <alignment wrapText="1"/>
    </xf>
    <xf numFmtId="0" fontId="33" fillId="0" borderId="74" xfId="0" applyFont="1" applyBorder="1"/>
    <xf numFmtId="0" fontId="33" fillId="0" borderId="6" xfId="0" applyFont="1" applyBorder="1" applyAlignment="1">
      <alignment horizontal="center"/>
    </xf>
    <xf numFmtId="0" fontId="33" fillId="0" borderId="19" xfId="0" applyFont="1" applyBorder="1"/>
    <xf numFmtId="0" fontId="33" fillId="0" borderId="75" xfId="0" applyFont="1" applyBorder="1" applyAlignment="1">
      <alignment horizontal="center"/>
    </xf>
    <xf numFmtId="0" fontId="33" fillId="0" borderId="76" xfId="0" applyFont="1" applyBorder="1"/>
    <xf numFmtId="0" fontId="33" fillId="0" borderId="77" xfId="0" applyFont="1" applyBorder="1"/>
    <xf numFmtId="4" fontId="33" fillId="0" borderId="7" xfId="0" applyNumberFormat="1" applyFont="1" applyBorder="1"/>
    <xf numFmtId="0" fontId="33" fillId="0" borderId="20" xfId="0" applyFont="1" applyBorder="1" applyAlignment="1">
      <alignment horizontal="center"/>
    </xf>
    <xf numFmtId="0" fontId="33" fillId="0" borderId="9" xfId="0" applyFont="1" applyBorder="1"/>
    <xf numFmtId="0" fontId="33" fillId="0" borderId="21" xfId="0" applyFont="1" applyBorder="1"/>
    <xf numFmtId="4" fontId="33" fillId="0" borderId="9" xfId="0" applyNumberFormat="1" applyFont="1" applyBorder="1"/>
    <xf numFmtId="0" fontId="33" fillId="0" borderId="23" xfId="0" applyFont="1" applyBorder="1"/>
    <xf numFmtId="0" fontId="33" fillId="0" borderId="55" xfId="0" applyFont="1" applyBorder="1" applyAlignment="1">
      <alignment horizontal="center"/>
    </xf>
    <xf numFmtId="4" fontId="33" fillId="0" borderId="75" xfId="0" applyNumberFormat="1" applyFont="1" applyBorder="1"/>
    <xf numFmtId="0" fontId="33" fillId="0" borderId="8" xfId="0" applyFont="1" applyBorder="1" applyAlignment="1">
      <alignment horizontal="center"/>
    </xf>
    <xf numFmtId="0" fontId="33" fillId="0" borderId="6" xfId="0" applyFont="1" applyBorder="1" applyAlignment="1">
      <alignment horizontal="center" wrapText="1"/>
    </xf>
    <xf numFmtId="0" fontId="33" fillId="0" borderId="10" xfId="0" applyFont="1" applyBorder="1"/>
    <xf numFmtId="0" fontId="33" fillId="0" borderId="11" xfId="0" applyFont="1" applyBorder="1"/>
    <xf numFmtId="0" fontId="33" fillId="0" borderId="20" xfId="0" applyFont="1" applyBorder="1"/>
    <xf numFmtId="0" fontId="33" fillId="0" borderId="22" xfId="0" applyFont="1" applyBorder="1" applyAlignment="1">
      <alignment horizontal="center"/>
    </xf>
    <xf numFmtId="0" fontId="33" fillId="0" borderId="24" xfId="0" applyFont="1" applyBorder="1"/>
    <xf numFmtId="0" fontId="33" fillId="0" borderId="4" xfId="0" applyFont="1" applyBorder="1"/>
    <xf numFmtId="0" fontId="33" fillId="0" borderId="20" xfId="0" applyFont="1" applyBorder="1" applyAlignment="1">
      <alignment horizontal="center" wrapText="1"/>
    </xf>
    <xf numFmtId="0" fontId="33" fillId="0" borderId="23" xfId="0" applyFont="1" applyBorder="1" applyAlignment="1">
      <alignment horizontal="center" wrapText="1"/>
    </xf>
    <xf numFmtId="4" fontId="33" fillId="0" borderId="76" xfId="0" applyNumberFormat="1" applyFont="1" applyBorder="1"/>
    <xf numFmtId="4" fontId="34" fillId="0" borderId="78" xfId="0" applyNumberFormat="1" applyFont="1" applyBorder="1"/>
    <xf numFmtId="0" fontId="33" fillId="0" borderId="79" xfId="0" applyFont="1" applyBorder="1" applyAlignment="1">
      <alignment horizontal="center"/>
    </xf>
    <xf numFmtId="0" fontId="33" fillId="0" borderId="80" xfId="0" applyFont="1" applyBorder="1"/>
    <xf numFmtId="0" fontId="33" fillId="0" borderId="81" xfId="0" applyFont="1" applyBorder="1"/>
    <xf numFmtId="0" fontId="33" fillId="0" borderId="29" xfId="0" applyFont="1" applyBorder="1" applyAlignment="1">
      <alignment horizontal="center" vertical="center"/>
    </xf>
    <xf numFmtId="4" fontId="33" fillId="9" borderId="82" xfId="0" applyNumberFormat="1" applyFont="1" applyFill="1" applyBorder="1" applyAlignment="1">
      <alignment horizontal="center" vertical="center"/>
    </xf>
    <xf numFmtId="4" fontId="33" fillId="9" borderId="82" xfId="0" applyNumberFormat="1" applyFont="1" applyFill="1" applyBorder="1" applyAlignment="1">
      <alignment horizontal="center" vertical="center" wrapText="1"/>
    </xf>
    <xf numFmtId="0" fontId="33" fillId="0" borderId="0" xfId="0" applyFont="1" applyBorder="1" applyAlignment="1">
      <alignment horizontal="center"/>
    </xf>
    <xf numFmtId="4" fontId="33" fillId="9" borderId="10" xfId="0" applyNumberFormat="1" applyFont="1" applyFill="1" applyBorder="1" applyAlignment="1">
      <alignment horizontal="center"/>
    </xf>
    <xf numFmtId="0" fontId="33" fillId="9" borderId="0" xfId="0" applyFont="1" applyFill="1" applyBorder="1" applyAlignment="1">
      <alignment horizontal="center"/>
    </xf>
    <xf numFmtId="0" fontId="33" fillId="9" borderId="0" xfId="0" applyFont="1" applyFill="1" applyBorder="1" applyAlignment="1">
      <alignment horizontal="center" wrapText="1"/>
    </xf>
    <xf numFmtId="0" fontId="33" fillId="9" borderId="15" xfId="0" applyFont="1" applyFill="1" applyBorder="1" applyAlignment="1">
      <alignment horizontal="center"/>
    </xf>
    <xf numFmtId="0" fontId="33" fillId="0" borderId="14" xfId="0" applyFont="1" applyBorder="1" applyAlignment="1">
      <alignment horizontal="center" vertical="center" wrapText="1"/>
    </xf>
    <xf numFmtId="0" fontId="33" fillId="0" borderId="0" xfId="0" applyFont="1" applyBorder="1" applyAlignment="1">
      <alignment horizontal="center" vertical="center" wrapText="1"/>
    </xf>
    <xf numFmtId="0" fontId="33" fillId="0" borderId="0" xfId="0" applyFont="1" applyBorder="1" applyAlignment="1">
      <alignment horizontal="center" vertical="center"/>
    </xf>
    <xf numFmtId="0" fontId="33" fillId="0" borderId="15" xfId="0" applyFont="1" applyBorder="1" applyAlignment="1">
      <alignment horizontal="center" vertical="center" wrapText="1"/>
    </xf>
    <xf numFmtId="4" fontId="33" fillId="12" borderId="46" xfId="0" applyNumberFormat="1" applyFont="1" applyFill="1" applyBorder="1" applyAlignment="1">
      <alignment horizontal="center"/>
    </xf>
    <xf numFmtId="0" fontId="33" fillId="12" borderId="46" xfId="0" applyFont="1" applyFill="1" applyBorder="1" applyAlignment="1">
      <alignment horizontal="center"/>
    </xf>
    <xf numFmtId="0" fontId="33" fillId="12" borderId="46" xfId="0" applyFont="1" applyFill="1" applyBorder="1" applyAlignment="1">
      <alignment horizontal="center" wrapText="1"/>
    </xf>
    <xf numFmtId="0" fontId="26" fillId="0" borderId="30" xfId="0" applyFont="1" applyBorder="1" applyAlignment="1">
      <alignment horizontal="center" wrapText="1"/>
    </xf>
    <xf numFmtId="4" fontId="17" fillId="9" borderId="17" xfId="0" applyNumberFormat="1" applyFont="1" applyFill="1" applyBorder="1" applyAlignment="1">
      <alignment horizontal="left"/>
    </xf>
    <xf numFmtId="0" fontId="33" fillId="0" borderId="29" xfId="0" applyFont="1" applyBorder="1" applyAlignment="1">
      <alignment horizontal="center" vertical="center" textRotation="255"/>
    </xf>
    <xf numFmtId="0" fontId="33" fillId="0" borderId="30" xfId="0" applyFont="1" applyBorder="1" applyAlignment="1">
      <alignment horizontal="center" vertical="center"/>
    </xf>
    <xf numFmtId="0" fontId="33" fillId="0" borderId="8" xfId="0" applyFont="1" applyBorder="1" applyAlignment="1">
      <alignment horizontal="center" wrapText="1"/>
    </xf>
    <xf numFmtId="0" fontId="33" fillId="0" borderId="9" xfId="0" applyFont="1" applyBorder="1" applyAlignment="1">
      <alignment horizontal="center" wrapText="1"/>
    </xf>
    <xf numFmtId="4" fontId="33" fillId="0" borderId="0" xfId="0" applyNumberFormat="1" applyFont="1" applyBorder="1"/>
    <xf numFmtId="0" fontId="33" fillId="0" borderId="42" xfId="0" applyFont="1" applyBorder="1"/>
    <xf numFmtId="0" fontId="33" fillId="0" borderId="43" xfId="0" applyFont="1" applyBorder="1" applyAlignment="1">
      <alignment horizontal="center"/>
    </xf>
    <xf numFmtId="0" fontId="33" fillId="0" borderId="44" xfId="0" applyFont="1" applyBorder="1" applyAlignment="1">
      <alignment horizontal="center"/>
    </xf>
    <xf numFmtId="0" fontId="33" fillId="0" borderId="7" xfId="0" applyFont="1" applyBorder="1" applyAlignment="1">
      <alignment horizontal="center" wrapText="1"/>
    </xf>
    <xf numFmtId="0" fontId="35" fillId="0" borderId="25" xfId="0" applyFont="1" applyBorder="1"/>
    <xf numFmtId="0" fontId="33" fillId="0" borderId="39" xfId="0" applyFont="1" applyBorder="1" applyAlignment="1">
      <alignment horizontal="center"/>
    </xf>
    <xf numFmtId="0" fontId="33" fillId="19" borderId="24" xfId="0" applyFont="1" applyFill="1" applyBorder="1" applyAlignment="1">
      <alignment horizontal="center"/>
    </xf>
    <xf numFmtId="0" fontId="33" fillId="0" borderId="27" xfId="0" applyFont="1" applyBorder="1" applyAlignment="1">
      <alignment horizontal="center" wrapText="1"/>
    </xf>
    <xf numFmtId="0" fontId="33" fillId="0" borderId="5" xfId="0" applyFont="1" applyBorder="1" applyAlignment="1">
      <alignment horizontal="center" wrapText="1"/>
    </xf>
    <xf numFmtId="4" fontId="0" fillId="11" borderId="39" xfId="0" applyNumberFormat="1" applyFill="1" applyBorder="1" applyAlignment="1">
      <alignment horizontal="left"/>
    </xf>
    <xf numFmtId="4" fontId="5" fillId="9" borderId="17" xfId="0" applyNumberFormat="1" applyFont="1" applyFill="1" applyBorder="1" applyAlignment="1">
      <alignment horizontal="left"/>
    </xf>
    <xf numFmtId="0" fontId="25" fillId="14" borderId="3" xfId="0" applyFont="1" applyFill="1" applyBorder="1" applyAlignment="1">
      <alignment vertical="top" wrapText="1"/>
    </xf>
    <xf numFmtId="0" fontId="16" fillId="14" borderId="4" xfId="0" applyFont="1" applyFill="1" applyBorder="1" applyAlignment="1">
      <alignment horizontal="center" vertical="top" wrapText="1"/>
    </xf>
    <xf numFmtId="0" fontId="16" fillId="14" borderId="1" xfId="0" applyFont="1" applyFill="1" applyBorder="1" applyAlignment="1">
      <alignment horizontal="center" vertical="top" wrapText="1"/>
    </xf>
    <xf numFmtId="0" fontId="25" fillId="14" borderId="4" xfId="0" applyFont="1" applyFill="1" applyBorder="1" applyAlignment="1">
      <alignment vertical="top" wrapText="1"/>
    </xf>
    <xf numFmtId="0" fontId="25" fillId="14" borderId="1" xfId="0" applyFont="1" applyFill="1" applyBorder="1" applyAlignment="1">
      <alignment vertical="top" wrapText="1"/>
    </xf>
    <xf numFmtId="165" fontId="25" fillId="14" borderId="4" xfId="43" applyFont="1" applyFill="1" applyBorder="1" applyAlignment="1">
      <alignment vertical="top" wrapText="1"/>
    </xf>
    <xf numFmtId="165" fontId="25" fillId="14" borderId="1" xfId="43" applyFont="1" applyFill="1" applyBorder="1" applyAlignment="1">
      <alignment vertical="top" wrapText="1"/>
    </xf>
    <xf numFmtId="165" fontId="25" fillId="14" borderId="6" xfId="43" applyFont="1" applyFill="1" applyBorder="1" applyAlignment="1">
      <alignment vertical="top" wrapText="1"/>
    </xf>
    <xf numFmtId="165" fontId="25" fillId="14" borderId="7" xfId="43" applyFont="1" applyFill="1" applyBorder="1" applyAlignment="1">
      <alignment vertical="top" wrapText="1"/>
    </xf>
    <xf numFmtId="165" fontId="25" fillId="14" borderId="19" xfId="43" applyFont="1" applyFill="1" applyBorder="1" applyAlignment="1">
      <alignment vertical="top" wrapText="1"/>
    </xf>
    <xf numFmtId="2" fontId="17" fillId="14" borderId="4" xfId="0" applyNumberFormat="1" applyFont="1" applyFill="1" applyBorder="1" applyAlignment="1">
      <alignment horizontal="right" vertical="top" wrapText="1"/>
    </xf>
    <xf numFmtId="0" fontId="17" fillId="0" borderId="0" xfId="0" applyFont="1" applyAlignment="1"/>
    <xf numFmtId="0" fontId="2" fillId="0" borderId="0" xfId="0" applyFont="1" applyAlignment="1"/>
    <xf numFmtId="0" fontId="18" fillId="0" borderId="87" xfId="0" applyFont="1" applyBorder="1" applyAlignment="1">
      <alignment horizontal="center" vertical="top" wrapText="1"/>
    </xf>
    <xf numFmtId="2" fontId="2" fillId="0" borderId="60" xfId="0" applyNumberFormat="1" applyFont="1" applyBorder="1" applyAlignment="1">
      <alignment horizontal="right" vertical="top" wrapText="1"/>
    </xf>
    <xf numFmtId="0" fontId="18" fillId="9" borderId="87" xfId="0" applyFont="1" applyFill="1" applyBorder="1" applyAlignment="1">
      <alignment horizontal="center" vertical="top" wrapText="1"/>
    </xf>
    <xf numFmtId="165" fontId="18" fillId="9" borderId="60" xfId="43" applyFont="1" applyFill="1" applyBorder="1" applyAlignment="1">
      <alignment horizontal="right" vertical="top" wrapText="1"/>
    </xf>
    <xf numFmtId="0" fontId="2" fillId="9" borderId="0" xfId="0" applyFont="1" applyFill="1" applyAlignment="1"/>
    <xf numFmtId="0" fontId="18" fillId="10" borderId="3" xfId="0" applyFont="1" applyFill="1" applyBorder="1" applyAlignment="1">
      <alignment horizontal="center" vertical="center" wrapText="1"/>
    </xf>
    <xf numFmtId="0" fontId="18" fillId="10" borderId="4" xfId="0" applyFont="1" applyFill="1" applyBorder="1" applyAlignment="1">
      <alignment horizontal="center" vertical="center" wrapText="1"/>
    </xf>
    <xf numFmtId="0" fontId="18" fillId="10" borderId="1" xfId="0" applyFont="1" applyFill="1" applyBorder="1" applyAlignment="1">
      <alignment horizontal="center" vertical="center" wrapText="1"/>
    </xf>
    <xf numFmtId="0" fontId="18" fillId="0" borderId="4" xfId="0" applyFont="1" applyBorder="1" applyAlignment="1">
      <alignment horizontal="left" vertical="center" wrapText="1"/>
    </xf>
    <xf numFmtId="0" fontId="18" fillId="0" borderId="1" xfId="0" applyFont="1" applyBorder="1" applyAlignment="1">
      <alignment horizontal="center" vertical="center" wrapText="1"/>
    </xf>
    <xf numFmtId="0" fontId="18" fillId="10" borderId="4" xfId="0" applyFont="1" applyFill="1" applyBorder="1" applyAlignment="1">
      <alignment horizontal="right" vertical="center" wrapText="1"/>
    </xf>
    <xf numFmtId="2" fontId="10" fillId="9" borderId="60" xfId="0" applyNumberFormat="1" applyFont="1" applyFill="1" applyBorder="1" applyAlignment="1">
      <alignment horizontal="right" vertical="top" wrapText="1"/>
    </xf>
    <xf numFmtId="0" fontId="18" fillId="9" borderId="0" xfId="0" applyFont="1" applyFill="1" applyAlignment="1">
      <alignment horizontal="left" vertical="center" wrapText="1"/>
    </xf>
    <xf numFmtId="2" fontId="2" fillId="9" borderId="60" xfId="0" applyNumberFormat="1" applyFont="1" applyFill="1" applyBorder="1" applyAlignment="1">
      <alignment vertical="top" wrapText="1"/>
    </xf>
    <xf numFmtId="4" fontId="18" fillId="10" borderId="1" xfId="0" applyNumberFormat="1" applyFont="1" applyFill="1" applyBorder="1" applyAlignment="1">
      <alignment horizontal="right" vertical="center" wrapText="1"/>
    </xf>
    <xf numFmtId="4" fontId="18" fillId="10" borderId="5" xfId="31" applyNumberFormat="1" applyFont="1" applyFill="1" applyBorder="1" applyAlignment="1">
      <alignment horizontal="left" vertical="center" wrapText="1"/>
    </xf>
    <xf numFmtId="4" fontId="18" fillId="10" borderId="37" xfId="31" applyNumberFormat="1" applyFont="1" applyFill="1" applyBorder="1" applyAlignment="1">
      <alignment horizontal="left" vertical="center" wrapText="1"/>
    </xf>
    <xf numFmtId="4" fontId="18" fillId="10" borderId="1" xfId="31" applyNumberFormat="1" applyFont="1" applyFill="1" applyBorder="1" applyAlignment="1">
      <alignment horizontal="left" vertical="center" wrapText="1"/>
    </xf>
    <xf numFmtId="4" fontId="18" fillId="10" borderId="6" xfId="31" applyNumberFormat="1" applyFont="1" applyFill="1" applyBorder="1" applyAlignment="1">
      <alignment horizontal="left" vertical="center" wrapText="1"/>
    </xf>
    <xf numFmtId="4" fontId="18" fillId="10" borderId="7" xfId="31" applyNumberFormat="1" applyFont="1" applyFill="1" applyBorder="1" applyAlignment="1">
      <alignment horizontal="left" vertical="center" wrapText="1"/>
    </xf>
    <xf numFmtId="4" fontId="18" fillId="10" borderId="19" xfId="31" applyNumberFormat="1" applyFont="1" applyFill="1" applyBorder="1" applyAlignment="1">
      <alignment horizontal="left" vertical="center" wrapText="1"/>
    </xf>
    <xf numFmtId="4" fontId="18" fillId="10" borderId="4" xfId="31" applyNumberFormat="1" applyFont="1" applyFill="1" applyBorder="1" applyAlignment="1">
      <alignment horizontal="left" vertical="center" wrapText="1"/>
    </xf>
    <xf numFmtId="0" fontId="18" fillId="0" borderId="0" xfId="0" applyFont="1" applyFill="1" applyAlignment="1">
      <alignment horizontal="left" vertical="center" wrapText="1"/>
    </xf>
    <xf numFmtId="0" fontId="18" fillId="10" borderId="4" xfId="0" applyFont="1" applyFill="1" applyBorder="1" applyAlignment="1">
      <alignment horizontal="left" vertical="center" wrapText="1"/>
    </xf>
    <xf numFmtId="0" fontId="18" fillId="10" borderId="1" xfId="0" applyFont="1" applyFill="1" applyBorder="1" applyAlignment="1">
      <alignment horizontal="right" vertical="center" wrapText="1"/>
    </xf>
    <xf numFmtId="0" fontId="18" fillId="10" borderId="5" xfId="0" applyFont="1" applyFill="1" applyBorder="1" applyAlignment="1">
      <alignment horizontal="left" vertical="center" wrapText="1"/>
    </xf>
    <xf numFmtId="4" fontId="18" fillId="10" borderId="1" xfId="0" applyNumberFormat="1" applyFont="1" applyFill="1" applyBorder="1" applyAlignment="1">
      <alignment horizontal="left" vertical="center" wrapText="1"/>
    </xf>
    <xf numFmtId="4" fontId="18" fillId="10" borderId="4" xfId="0" applyNumberFormat="1" applyFont="1" applyFill="1" applyBorder="1" applyAlignment="1">
      <alignment horizontal="center" vertical="center" wrapText="1"/>
    </xf>
    <xf numFmtId="4" fontId="18" fillId="10" borderId="4" xfId="0" applyNumberFormat="1" applyFont="1" applyFill="1" applyBorder="1" applyAlignment="1">
      <alignment horizontal="right" vertical="center" wrapText="1"/>
    </xf>
    <xf numFmtId="4" fontId="18" fillId="10" borderId="5" xfId="31" applyNumberFormat="1" applyFont="1" applyFill="1" applyBorder="1" applyAlignment="1">
      <alignment horizontal="right" vertical="center" wrapText="1"/>
    </xf>
    <xf numFmtId="4" fontId="18" fillId="10" borderId="37" xfId="31" applyNumberFormat="1" applyFont="1" applyFill="1" applyBorder="1" applyAlignment="1">
      <alignment horizontal="right" vertical="center" wrapText="1"/>
    </xf>
    <xf numFmtId="0" fontId="18" fillId="10" borderId="6" xfId="0" applyFont="1" applyFill="1" applyBorder="1" applyAlignment="1">
      <alignment horizontal="center" vertical="center" wrapText="1"/>
    </xf>
    <xf numFmtId="0" fontId="18" fillId="10" borderId="7" xfId="0" applyFont="1" applyFill="1" applyBorder="1" applyAlignment="1">
      <alignment horizontal="center" vertical="center" wrapText="1"/>
    </xf>
    <xf numFmtId="0" fontId="18" fillId="10" borderId="19" xfId="0" applyFont="1" applyFill="1" applyBorder="1" applyAlignment="1">
      <alignment horizontal="center" vertical="center" wrapText="1"/>
    </xf>
    <xf numFmtId="0" fontId="18" fillId="0" borderId="3" xfId="0" applyFont="1" applyBorder="1" applyAlignment="1">
      <alignment horizontal="center" vertical="center" wrapText="1"/>
    </xf>
    <xf numFmtId="0" fontId="18" fillId="0" borderId="4" xfId="0" applyFont="1" applyBorder="1" applyAlignment="1">
      <alignment horizontal="center" vertical="center" wrapText="1"/>
    </xf>
    <xf numFmtId="0" fontId="18" fillId="10" borderId="5" xfId="0" applyFont="1" applyFill="1" applyBorder="1" applyAlignment="1">
      <alignment horizontal="right" vertical="center" wrapText="1"/>
    </xf>
    <xf numFmtId="0" fontId="18" fillId="10" borderId="37" xfId="0" applyFont="1" applyFill="1" applyBorder="1" applyAlignment="1">
      <alignment horizontal="right" vertical="center" wrapText="1"/>
    </xf>
    <xf numFmtId="0" fontId="18" fillId="10" borderId="3" xfId="0" applyFont="1" applyFill="1" applyBorder="1" applyAlignment="1">
      <alignment horizontal="left" vertical="center" wrapText="1"/>
    </xf>
    <xf numFmtId="0" fontId="18" fillId="10" borderId="1" xfId="0" applyFont="1" applyFill="1" applyBorder="1" applyAlignment="1">
      <alignment horizontal="left" vertical="center" wrapText="1"/>
    </xf>
    <xf numFmtId="4" fontId="18" fillId="10" borderId="3" xfId="0" applyNumberFormat="1" applyFont="1" applyFill="1" applyBorder="1" applyAlignment="1">
      <alignment horizontal="right" vertical="center" wrapText="1"/>
    </xf>
    <xf numFmtId="4" fontId="18" fillId="10" borderId="31" xfId="31" applyNumberFormat="1" applyFont="1" applyFill="1" applyBorder="1" applyAlignment="1">
      <alignment horizontal="left" vertical="center" wrapText="1"/>
    </xf>
    <xf numFmtId="0" fontId="33" fillId="16" borderId="0" xfId="0" applyFont="1" applyFill="1" applyBorder="1" applyAlignment="1">
      <alignment horizontal="center"/>
    </xf>
    <xf numFmtId="2" fontId="33" fillId="0" borderId="58" xfId="0" applyNumberFormat="1" applyFont="1" applyBorder="1"/>
    <xf numFmtId="0" fontId="35" fillId="0" borderId="30" xfId="0" applyFont="1" applyBorder="1"/>
    <xf numFmtId="0" fontId="18" fillId="14" borderId="3" xfId="0" applyFont="1" applyFill="1" applyBorder="1" applyAlignment="1">
      <alignment vertical="top" wrapText="1"/>
    </xf>
    <xf numFmtId="0" fontId="19" fillId="14" borderId="4" xfId="0" applyFont="1" applyFill="1" applyBorder="1" applyAlignment="1">
      <alignment horizontal="center" vertical="top" wrapText="1"/>
    </xf>
    <xf numFmtId="0" fontId="19" fillId="14" borderId="1" xfId="0" applyFont="1" applyFill="1" applyBorder="1" applyAlignment="1">
      <alignment horizontal="center" vertical="top" wrapText="1"/>
    </xf>
    <xf numFmtId="0" fontId="18" fillId="14" borderId="4" xfId="0" applyFont="1" applyFill="1" applyBorder="1" applyAlignment="1">
      <alignment vertical="top" wrapText="1"/>
    </xf>
    <xf numFmtId="0" fontId="18" fillId="14" borderId="1" xfId="0" applyFont="1" applyFill="1" applyBorder="1" applyAlignment="1">
      <alignment vertical="top" wrapText="1"/>
    </xf>
    <xf numFmtId="165" fontId="18" fillId="14" borderId="4" xfId="43" applyFont="1" applyFill="1" applyBorder="1" applyAlignment="1">
      <alignment vertical="top" wrapText="1"/>
    </xf>
    <xf numFmtId="165" fontId="18" fillId="14" borderId="1" xfId="43" applyFont="1" applyFill="1" applyBorder="1" applyAlignment="1">
      <alignment vertical="top" wrapText="1"/>
    </xf>
    <xf numFmtId="165" fontId="18" fillId="14" borderId="6" xfId="43" applyFont="1" applyFill="1" applyBorder="1" applyAlignment="1">
      <alignment vertical="top" wrapText="1"/>
    </xf>
    <xf numFmtId="165" fontId="18" fillId="14" borderId="7" xfId="43" applyFont="1" applyFill="1" applyBorder="1" applyAlignment="1">
      <alignment vertical="top" wrapText="1"/>
    </xf>
    <xf numFmtId="165" fontId="18" fillId="14" borderId="19" xfId="43" applyFont="1" applyFill="1" applyBorder="1" applyAlignment="1">
      <alignment vertical="top" wrapText="1"/>
    </xf>
    <xf numFmtId="2" fontId="2" fillId="14" borderId="4" xfId="0" applyNumberFormat="1" applyFont="1" applyFill="1" applyBorder="1" applyAlignment="1">
      <alignment horizontal="right" vertical="top" wrapText="1"/>
    </xf>
    <xf numFmtId="0" fontId="18" fillId="20" borderId="3" xfId="0" applyFont="1" applyFill="1" applyBorder="1" applyAlignment="1">
      <alignment vertical="top" wrapText="1"/>
    </xf>
    <xf numFmtId="0" fontId="19" fillId="20" borderId="4" xfId="0" applyFont="1" applyFill="1" applyBorder="1" applyAlignment="1">
      <alignment horizontal="center" vertical="top" wrapText="1"/>
    </xf>
    <xf numFmtId="0" fontId="19" fillId="20" borderId="1" xfId="0" applyFont="1" applyFill="1" applyBorder="1" applyAlignment="1">
      <alignment horizontal="center" vertical="top" wrapText="1"/>
    </xf>
    <xf numFmtId="0" fontId="18" fillId="20" borderId="4" xfId="0" applyFont="1" applyFill="1" applyBorder="1" applyAlignment="1">
      <alignment vertical="top" wrapText="1"/>
    </xf>
    <xf numFmtId="0" fontId="18" fillId="20" borderId="1" xfId="0" applyFont="1" applyFill="1" applyBorder="1" applyAlignment="1">
      <alignment vertical="top" wrapText="1"/>
    </xf>
    <xf numFmtId="165" fontId="18" fillId="20" borderId="4" xfId="43" applyFont="1" applyFill="1" applyBorder="1" applyAlignment="1">
      <alignment vertical="top" wrapText="1"/>
    </xf>
    <xf numFmtId="165" fontId="18" fillId="20" borderId="1" xfId="43" applyFont="1" applyFill="1" applyBorder="1" applyAlignment="1">
      <alignment vertical="top" wrapText="1"/>
    </xf>
    <xf numFmtId="165" fontId="18" fillId="20" borderId="6" xfId="43" applyFont="1" applyFill="1" applyBorder="1" applyAlignment="1">
      <alignment vertical="top" wrapText="1"/>
    </xf>
    <xf numFmtId="165" fontId="18" fillId="20" borderId="7" xfId="43" applyFont="1" applyFill="1" applyBorder="1" applyAlignment="1">
      <alignment vertical="top" wrapText="1"/>
    </xf>
    <xf numFmtId="165" fontId="18" fillId="20" borderId="19" xfId="43" applyFont="1" applyFill="1" applyBorder="1" applyAlignment="1">
      <alignment vertical="top" wrapText="1"/>
    </xf>
    <xf numFmtId="2" fontId="2" fillId="20" borderId="4" xfId="0" applyNumberFormat="1" applyFont="1" applyFill="1" applyBorder="1" applyAlignment="1">
      <alignment horizontal="right" vertical="top" wrapText="1"/>
    </xf>
    <xf numFmtId="0" fontId="18" fillId="17" borderId="3" xfId="0" applyFont="1" applyFill="1" applyBorder="1" applyAlignment="1">
      <alignment vertical="top" wrapText="1"/>
    </xf>
    <xf numFmtId="0" fontId="19" fillId="17" borderId="4" xfId="0" applyFont="1" applyFill="1" applyBorder="1" applyAlignment="1">
      <alignment horizontal="center" vertical="top" wrapText="1"/>
    </xf>
    <xf numFmtId="0" fontId="19" fillId="17" borderId="1" xfId="0" applyFont="1" applyFill="1" applyBorder="1" applyAlignment="1">
      <alignment horizontal="center" vertical="top" wrapText="1"/>
    </xf>
    <xf numFmtId="0" fontId="18" fillId="17" borderId="4" xfId="0" applyFont="1" applyFill="1" applyBorder="1" applyAlignment="1">
      <alignment vertical="top" wrapText="1"/>
    </xf>
    <xf numFmtId="0" fontId="18" fillId="17" borderId="1" xfId="0" applyFont="1" applyFill="1" applyBorder="1" applyAlignment="1">
      <alignment vertical="top" wrapText="1"/>
    </xf>
    <xf numFmtId="165" fontId="18" fillId="17" borderId="4" xfId="43" applyFont="1" applyFill="1" applyBorder="1" applyAlignment="1">
      <alignment vertical="top" wrapText="1"/>
    </xf>
    <xf numFmtId="165" fontId="18" fillId="17" borderId="1" xfId="43" applyFont="1" applyFill="1" applyBorder="1" applyAlignment="1">
      <alignment vertical="top" wrapText="1"/>
    </xf>
    <xf numFmtId="165" fontId="18" fillId="17" borderId="6" xfId="43" applyFont="1" applyFill="1" applyBorder="1" applyAlignment="1">
      <alignment vertical="top" wrapText="1"/>
    </xf>
    <xf numFmtId="165" fontId="18" fillId="17" borderId="7" xfId="43" applyFont="1" applyFill="1" applyBorder="1" applyAlignment="1">
      <alignment vertical="top" wrapText="1"/>
    </xf>
    <xf numFmtId="165" fontId="18" fillId="17" borderId="19" xfId="43" applyFont="1" applyFill="1" applyBorder="1" applyAlignment="1">
      <alignment vertical="top" wrapText="1"/>
    </xf>
    <xf numFmtId="2" fontId="2" fillId="17" borderId="4" xfId="0" applyNumberFormat="1" applyFont="1" applyFill="1" applyBorder="1" applyAlignment="1">
      <alignment horizontal="right" vertical="top" wrapText="1"/>
    </xf>
    <xf numFmtId="165" fontId="18" fillId="9" borderId="5" xfId="43" applyFont="1" applyFill="1" applyBorder="1" applyAlignment="1">
      <alignment vertical="top" wrapText="1"/>
    </xf>
    <xf numFmtId="2" fontId="10" fillId="0" borderId="60" xfId="0" applyNumberFormat="1" applyFont="1" applyBorder="1" applyAlignment="1">
      <alignment vertical="top" wrapText="1"/>
    </xf>
    <xf numFmtId="0" fontId="36" fillId="0" borderId="6" xfId="0" applyFont="1" applyBorder="1" applyAlignment="1">
      <alignment horizontal="center" wrapText="1"/>
    </xf>
    <xf numFmtId="0" fontId="34" fillId="0" borderId="19" xfId="0" applyFont="1" applyBorder="1"/>
    <xf numFmtId="0" fontId="35" fillId="0" borderId="0" xfId="0" applyFont="1"/>
    <xf numFmtId="0" fontId="21" fillId="15" borderId="35" xfId="0" applyFont="1" applyFill="1" applyBorder="1" applyAlignment="1">
      <alignment horizontal="center" vertical="center"/>
    </xf>
    <xf numFmtId="0" fontId="0" fillId="0" borderId="3" xfId="0" applyBorder="1" applyAlignment="1">
      <alignment horizontal="center" vertical="center"/>
    </xf>
    <xf numFmtId="0" fontId="32" fillId="0" borderId="3" xfId="0" applyFont="1" applyFill="1" applyBorder="1" applyAlignment="1">
      <alignment horizontal="center" vertical="center"/>
    </xf>
    <xf numFmtId="0" fontId="0" fillId="0" borderId="3" xfId="0" applyBorder="1" applyAlignment="1">
      <alignment horizontal="center" vertical="center" wrapText="1"/>
    </xf>
    <xf numFmtId="0" fontId="0" fillId="0" borderId="38" xfId="0" applyBorder="1" applyAlignment="1">
      <alignment horizontal="center" vertical="center"/>
    </xf>
    <xf numFmtId="0" fontId="21" fillId="15" borderId="24" xfId="0" applyFont="1" applyFill="1" applyBorder="1" applyAlignment="1">
      <alignment vertical="center"/>
    </xf>
    <xf numFmtId="0" fontId="0" fillId="0" borderId="4" xfId="0" applyBorder="1" applyAlignment="1">
      <alignment vertical="center" wrapText="1"/>
    </xf>
    <xf numFmtId="0" fontId="0" fillId="0" borderId="26" xfId="0" applyBorder="1" applyAlignment="1">
      <alignment horizontal="left" vertical="center"/>
    </xf>
    <xf numFmtId="4" fontId="21" fillId="15" borderId="36" xfId="0" applyNumberFormat="1" applyFont="1" applyFill="1" applyBorder="1" applyAlignment="1">
      <alignment horizontal="center" wrapText="1"/>
    </xf>
    <xf numFmtId="4" fontId="0" fillId="0" borderId="1" xfId="0" applyNumberFormat="1" applyFont="1" applyBorder="1" applyAlignment="1">
      <alignment horizontal="right" vertical="center"/>
    </xf>
    <xf numFmtId="4" fontId="0" fillId="0" borderId="1" xfId="0" applyNumberFormat="1" applyBorder="1" applyAlignment="1">
      <alignment vertical="center" wrapText="1"/>
    </xf>
    <xf numFmtId="4" fontId="21" fillId="15" borderId="24" xfId="0" applyNumberFormat="1" applyFont="1" applyFill="1" applyBorder="1" applyAlignment="1">
      <alignment horizontal="center" vertical="center" wrapText="1"/>
    </xf>
    <xf numFmtId="10" fontId="0" fillId="0" borderId="4" xfId="0" applyNumberFormat="1" applyFont="1" applyBorder="1" applyAlignment="1">
      <alignment vertical="center"/>
    </xf>
    <xf numFmtId="0" fontId="37" fillId="0" borderId="19" xfId="0" applyFont="1" applyBorder="1"/>
    <xf numFmtId="0" fontId="33" fillId="0" borderId="89" xfId="0" applyFont="1" applyBorder="1" applyAlignment="1">
      <alignment horizontal="center"/>
    </xf>
    <xf numFmtId="0" fontId="33" fillId="0" borderId="17" xfId="0" applyFont="1" applyBorder="1" applyAlignment="1">
      <alignment horizontal="center"/>
    </xf>
    <xf numFmtId="0" fontId="33" fillId="15" borderId="0" xfId="0" applyFont="1" applyFill="1" applyBorder="1" applyAlignment="1">
      <alignment horizontal="center"/>
    </xf>
    <xf numFmtId="0" fontId="38" fillId="0" borderId="0" xfId="0" applyFont="1" applyAlignment="1">
      <alignment horizontal="center" wrapText="1"/>
    </xf>
    <xf numFmtId="3" fontId="28" fillId="0" borderId="1" xfId="0" applyNumberFormat="1" applyFont="1" applyBorder="1" applyAlignment="1">
      <alignment horizontal="center" vertical="top" wrapText="1"/>
    </xf>
    <xf numFmtId="0" fontId="36" fillId="0" borderId="7" xfId="0" applyFont="1" applyBorder="1" applyAlignment="1">
      <alignment horizontal="center" wrapText="1"/>
    </xf>
    <xf numFmtId="0" fontId="34" fillId="0" borderId="0" xfId="0" applyFont="1"/>
    <xf numFmtId="0" fontId="16" fillId="18" borderId="3" xfId="0" applyFont="1" applyFill="1" applyBorder="1" applyAlignment="1">
      <alignment horizontal="left" vertical="top" wrapText="1"/>
    </xf>
    <xf numFmtId="0" fontId="39" fillId="0" borderId="6" xfId="0" applyFont="1" applyBorder="1" applyAlignment="1">
      <alignment horizontal="center" wrapText="1"/>
    </xf>
    <xf numFmtId="0" fontId="36" fillId="0" borderId="19" xfId="0" applyFont="1" applyBorder="1" applyAlignment="1">
      <alignment horizontal="center"/>
    </xf>
    <xf numFmtId="0" fontId="33" fillId="0" borderId="23" xfId="0" applyFont="1" applyBorder="1" applyAlignment="1">
      <alignment wrapText="1"/>
    </xf>
    <xf numFmtId="0" fontId="34" fillId="0" borderId="22" xfId="0" applyFont="1" applyBorder="1"/>
    <xf numFmtId="0" fontId="33" fillId="0" borderId="6" xfId="0" applyFont="1" applyBorder="1" applyAlignment="1">
      <alignment wrapText="1"/>
    </xf>
    <xf numFmtId="0" fontId="33" fillId="0" borderId="20" xfId="0" applyFont="1" applyBorder="1" applyAlignment="1">
      <alignment wrapText="1"/>
    </xf>
    <xf numFmtId="0" fontId="34" fillId="0" borderId="21" xfId="0" applyFont="1" applyBorder="1"/>
    <xf numFmtId="0" fontId="33" fillId="0" borderId="78" xfId="0" applyFont="1" applyBorder="1" applyAlignment="1">
      <alignment horizontal="center"/>
    </xf>
    <xf numFmtId="0" fontId="33" fillId="0" borderId="90" xfId="0" applyFont="1" applyBorder="1" applyAlignment="1">
      <alignment horizontal="center"/>
    </xf>
    <xf numFmtId="0" fontId="33" fillId="0" borderId="91" xfId="0" applyFont="1" applyBorder="1" applyAlignment="1">
      <alignment horizontal="center"/>
    </xf>
    <xf numFmtId="0" fontId="33" fillId="0" borderId="26" xfId="0" applyFont="1" applyBorder="1"/>
    <xf numFmtId="0" fontId="34" fillId="0" borderId="30" xfId="0" applyFont="1" applyBorder="1"/>
    <xf numFmtId="0" fontId="35" fillId="0" borderId="0" xfId="0" applyFont="1" applyBorder="1"/>
    <xf numFmtId="0" fontId="33" fillId="0" borderId="53" xfId="0" applyFont="1" applyBorder="1" applyAlignment="1">
      <alignment horizontal="center" wrapText="1"/>
    </xf>
    <xf numFmtId="0" fontId="35" fillId="0" borderId="92" xfId="0" applyFont="1" applyBorder="1"/>
    <xf numFmtId="0" fontId="33" fillId="0" borderId="25" xfId="0" applyFont="1" applyBorder="1"/>
    <xf numFmtId="0" fontId="0" fillId="0" borderId="12" xfId="0" applyBorder="1" applyAlignment="1">
      <alignment horizontal="center"/>
    </xf>
    <xf numFmtId="0" fontId="0" fillId="0" borderId="12" xfId="0" applyBorder="1" applyAlignment="1">
      <alignment wrapText="1"/>
    </xf>
    <xf numFmtId="0" fontId="33" fillId="0" borderId="89" xfId="0" applyFont="1" applyBorder="1"/>
    <xf numFmtId="0" fontId="33" fillId="0" borderId="80" xfId="0" applyFont="1" applyBorder="1" applyAlignment="1">
      <alignment horizontal="center" wrapText="1"/>
    </xf>
    <xf numFmtId="0" fontId="33" fillId="0" borderId="75" xfId="0" applyFont="1" applyBorder="1" applyAlignment="1">
      <alignment horizontal="center" wrapText="1"/>
    </xf>
    <xf numFmtId="4" fontId="33" fillId="0" borderId="93" xfId="0" applyNumberFormat="1" applyFont="1" applyBorder="1"/>
    <xf numFmtId="0" fontId="33" fillId="0" borderId="93" xfId="0" applyFont="1" applyBorder="1"/>
    <xf numFmtId="0" fontId="37" fillId="0" borderId="21" xfId="0" applyFont="1" applyBorder="1"/>
    <xf numFmtId="0" fontId="33" fillId="9" borderId="53" xfId="0" applyFont="1" applyFill="1" applyBorder="1"/>
    <xf numFmtId="0" fontId="33" fillId="9" borderId="55" xfId="0" applyFont="1" applyFill="1" applyBorder="1" applyAlignment="1">
      <alignment horizontal="center"/>
    </xf>
    <xf numFmtId="0" fontId="33" fillId="9" borderId="19" xfId="0" applyFont="1" applyFill="1" applyBorder="1"/>
    <xf numFmtId="4" fontId="33" fillId="0" borderId="19" xfId="0" applyNumberFormat="1" applyFont="1" applyBorder="1"/>
    <xf numFmtId="0" fontId="33" fillId="0" borderId="39" xfId="0" applyFont="1" applyBorder="1"/>
    <xf numFmtId="4" fontId="33" fillId="9" borderId="19" xfId="0" applyNumberFormat="1" applyFont="1" applyFill="1" applyBorder="1"/>
    <xf numFmtId="4" fontId="33" fillId="9" borderId="21" xfId="0" applyNumberFormat="1" applyFont="1" applyFill="1" applyBorder="1"/>
    <xf numFmtId="0" fontId="0" fillId="14" borderId="85" xfId="0" applyFill="1" applyBorder="1" applyAlignment="1">
      <alignment horizontal="center"/>
    </xf>
    <xf numFmtId="0" fontId="0" fillId="14" borderId="86" xfId="0" applyFill="1" applyBorder="1" applyAlignment="1">
      <alignment wrapText="1"/>
    </xf>
    <xf numFmtId="0" fontId="0" fillId="14" borderId="86" xfId="0" applyFill="1" applyBorder="1" applyAlignment="1">
      <alignment horizontal="center" wrapText="1"/>
    </xf>
    <xf numFmtId="4" fontId="33" fillId="15" borderId="19" xfId="0" applyNumberFormat="1" applyFont="1" applyFill="1" applyBorder="1"/>
    <xf numFmtId="10" fontId="33" fillId="0" borderId="19" xfId="0" applyNumberFormat="1" applyFont="1" applyBorder="1"/>
    <xf numFmtId="4" fontId="0" fillId="0" borderId="73" xfId="0" applyNumberFormat="1" applyBorder="1"/>
    <xf numFmtId="10" fontId="33" fillId="0" borderId="74" xfId="0" applyNumberFormat="1" applyFont="1" applyBorder="1"/>
    <xf numFmtId="4" fontId="0" fillId="14" borderId="30" xfId="0" applyNumberFormat="1" applyFill="1" applyBorder="1"/>
    <xf numFmtId="0" fontId="0" fillId="14" borderId="30" xfId="0" applyFill="1" applyBorder="1"/>
    <xf numFmtId="0" fontId="30" fillId="9" borderId="0" xfId="0" applyFont="1" applyFill="1" applyBorder="1" applyAlignment="1">
      <alignment horizontal="center"/>
    </xf>
    <xf numFmtId="0" fontId="30" fillId="9" borderId="17" xfId="0" applyFont="1" applyFill="1" applyBorder="1" applyAlignment="1">
      <alignment horizontal="center"/>
    </xf>
    <xf numFmtId="0" fontId="39" fillId="0" borderId="29" xfId="0" applyFont="1" applyBorder="1" applyAlignment="1">
      <alignment horizontal="center"/>
    </xf>
    <xf numFmtId="0" fontId="39" fillId="14" borderId="86" xfId="0" applyFont="1" applyFill="1" applyBorder="1" applyAlignment="1">
      <alignment horizontal="center"/>
    </xf>
    <xf numFmtId="10" fontId="39" fillId="0" borderId="6" xfId="0" applyNumberFormat="1" applyFont="1" applyBorder="1"/>
    <xf numFmtId="0" fontId="39" fillId="0" borderId="20" xfId="0" applyFont="1" applyBorder="1"/>
    <xf numFmtId="0" fontId="39" fillId="0" borderId="39" xfId="0" applyFont="1" applyBorder="1"/>
    <xf numFmtId="10" fontId="39" fillId="9" borderId="6" xfId="0" applyNumberFormat="1" applyFont="1" applyFill="1" applyBorder="1"/>
    <xf numFmtId="10" fontId="39" fillId="9" borderId="20" xfId="0" applyNumberFormat="1" applyFont="1" applyFill="1" applyBorder="1"/>
    <xf numFmtId="0" fontId="39" fillId="0" borderId="0" xfId="0" applyFont="1"/>
    <xf numFmtId="0" fontId="31" fillId="9" borderId="0" xfId="0" applyFont="1" applyFill="1" applyBorder="1" applyAlignment="1">
      <alignment horizontal="right" wrapText="1"/>
    </xf>
    <xf numFmtId="0" fontId="30" fillId="9" borderId="0" xfId="0" applyFont="1" applyFill="1" applyBorder="1" applyAlignment="1">
      <alignment horizontal="center" vertical="center" wrapText="1"/>
    </xf>
    <xf numFmtId="10" fontId="39" fillId="15" borderId="6" xfId="0" applyNumberFormat="1" applyFont="1" applyFill="1" applyBorder="1"/>
    <xf numFmtId="0" fontId="31" fillId="9" borderId="0" xfId="0" applyNumberFormat="1" applyFont="1" applyFill="1" applyBorder="1" applyAlignment="1">
      <alignment horizontal="right" wrapText="1"/>
    </xf>
    <xf numFmtId="0" fontId="30" fillId="9" borderId="0" xfId="0" applyNumberFormat="1" applyFont="1" applyFill="1" applyBorder="1" applyAlignment="1">
      <alignment horizontal="center" vertical="center" wrapText="1"/>
    </xf>
    <xf numFmtId="0" fontId="31" fillId="9" borderId="0" xfId="0" applyFont="1" applyFill="1" applyBorder="1" applyAlignment="1"/>
    <xf numFmtId="0" fontId="30" fillId="9" borderId="17" xfId="0" applyFont="1" applyFill="1" applyBorder="1" applyAlignment="1">
      <alignment horizontal="center" vertical="center" wrapText="1"/>
    </xf>
    <xf numFmtId="0" fontId="30" fillId="9" borderId="17" xfId="0" applyNumberFormat="1" applyFont="1" applyFill="1" applyBorder="1" applyAlignment="1">
      <alignment horizontal="center" vertical="center" wrapText="1"/>
    </xf>
    <xf numFmtId="0" fontId="31" fillId="9" borderId="17" xfId="0" applyFont="1" applyFill="1" applyBorder="1" applyAlignment="1"/>
    <xf numFmtId="0" fontId="0" fillId="14" borderId="83" xfId="0" applyFill="1" applyBorder="1" applyAlignment="1">
      <alignment horizontal="center" wrapText="1"/>
    </xf>
    <xf numFmtId="10" fontId="39" fillId="0" borderId="20" xfId="0" applyNumberFormat="1" applyFont="1" applyBorder="1"/>
    <xf numFmtId="4" fontId="33" fillId="0" borderId="21" xfId="0" applyNumberFormat="1" applyFont="1" applyBorder="1"/>
    <xf numFmtId="0" fontId="0" fillId="9" borderId="0" xfId="0" applyFill="1"/>
    <xf numFmtId="0" fontId="0" fillId="0" borderId="88" xfId="0" applyBorder="1" applyAlignment="1">
      <alignment horizontal="center"/>
    </xf>
    <xf numFmtId="10" fontId="39" fillId="9" borderId="73" xfId="0" applyNumberFormat="1" applyFont="1" applyFill="1" applyBorder="1"/>
    <xf numFmtId="4" fontId="33" fillId="9" borderId="74" xfId="0" applyNumberFormat="1" applyFont="1" applyFill="1" applyBorder="1"/>
    <xf numFmtId="0" fontId="0" fillId="0" borderId="24" xfId="0" applyBorder="1" applyAlignment="1">
      <alignment horizontal="center"/>
    </xf>
    <xf numFmtId="10" fontId="39" fillId="9" borderId="23" xfId="0" applyNumberFormat="1" applyFont="1" applyFill="1" applyBorder="1"/>
    <xf numFmtId="4" fontId="33" fillId="9" borderId="22" xfId="0" applyNumberFormat="1" applyFont="1" applyFill="1" applyBorder="1"/>
    <xf numFmtId="10" fontId="39" fillId="9" borderId="75" xfId="0" applyNumberFormat="1" applyFont="1" applyFill="1" applyBorder="1"/>
    <xf numFmtId="4" fontId="33" fillId="9" borderId="77" xfId="0" applyNumberFormat="1" applyFont="1" applyFill="1" applyBorder="1"/>
    <xf numFmtId="0" fontId="0" fillId="0" borderId="92" xfId="0" applyBorder="1" applyAlignment="1">
      <alignment horizontal="center"/>
    </xf>
    <xf numFmtId="0" fontId="39" fillId="0" borderId="79" xfId="0" applyFont="1" applyBorder="1"/>
    <xf numFmtId="10" fontId="39" fillId="0" borderId="75" xfId="0" applyNumberFormat="1" applyFont="1" applyBorder="1"/>
    <xf numFmtId="4" fontId="33" fillId="0" borderId="77" xfId="0" applyNumberFormat="1" applyFont="1" applyBorder="1"/>
    <xf numFmtId="4" fontId="0" fillId="9" borderId="6" xfId="0" applyNumberFormat="1" applyFill="1" applyBorder="1"/>
    <xf numFmtId="10" fontId="0" fillId="9" borderId="19" xfId="0" applyNumberFormat="1" applyFill="1" applyBorder="1"/>
    <xf numFmtId="0" fontId="0" fillId="9" borderId="4" xfId="0" applyFill="1" applyBorder="1" applyAlignment="1">
      <alignment horizontal="center"/>
    </xf>
    <xf numFmtId="10" fontId="0" fillId="14" borderId="30" xfId="0" applyNumberFormat="1" applyFill="1" applyBorder="1"/>
    <xf numFmtId="4" fontId="0" fillId="12" borderId="0" xfId="0" applyNumberFormat="1" applyFill="1"/>
    <xf numFmtId="0" fontId="0" fillId="0" borderId="84" xfId="0" applyBorder="1" applyAlignment="1">
      <alignment horizontal="center" wrapText="1"/>
    </xf>
    <xf numFmtId="4" fontId="42" fillId="0" borderId="0" xfId="0" applyNumberFormat="1" applyFont="1"/>
    <xf numFmtId="0" fontId="33" fillId="9" borderId="96" xfId="0" applyFont="1" applyFill="1" applyBorder="1" applyAlignment="1">
      <alignment horizontal="center" vertical="center" wrapText="1"/>
    </xf>
    <xf numFmtId="0" fontId="33" fillId="0" borderId="37" xfId="0" applyFont="1" applyBorder="1"/>
    <xf numFmtId="0" fontId="33" fillId="0" borderId="97" xfId="0" applyFont="1" applyBorder="1"/>
    <xf numFmtId="0" fontId="33" fillId="0" borderId="84" xfId="0" applyFont="1" applyBorder="1"/>
    <xf numFmtId="0" fontId="33" fillId="0" borderId="92" xfId="0" applyFont="1" applyBorder="1"/>
    <xf numFmtId="0" fontId="33" fillId="9" borderId="30" xfId="0" applyFont="1" applyFill="1" applyBorder="1" applyAlignment="1">
      <alignment horizontal="center" vertical="center" wrapText="1"/>
    </xf>
    <xf numFmtId="0" fontId="36" fillId="9" borderId="30" xfId="0" applyFont="1" applyFill="1" applyBorder="1" applyAlignment="1">
      <alignment horizontal="center" vertical="center" wrapText="1"/>
    </xf>
    <xf numFmtId="0" fontId="33" fillId="0" borderId="6" xfId="0" applyFont="1" applyBorder="1"/>
    <xf numFmtId="0" fontId="33" fillId="0" borderId="75" xfId="0" applyFont="1" applyBorder="1"/>
    <xf numFmtId="0" fontId="33" fillId="0" borderId="55" xfId="0" applyFont="1" applyBorder="1"/>
    <xf numFmtId="0" fontId="33" fillId="0" borderId="73" xfId="0" applyFont="1" applyBorder="1"/>
    <xf numFmtId="0" fontId="33" fillId="9" borderId="91" xfId="0" applyFont="1" applyFill="1" applyBorder="1" applyAlignment="1">
      <alignment horizontal="center" vertical="center" wrapText="1"/>
    </xf>
    <xf numFmtId="0" fontId="33" fillId="0" borderId="98" xfId="0" applyFont="1" applyBorder="1"/>
    <xf numFmtId="0" fontId="33" fillId="0" borderId="40" xfId="0" applyFont="1" applyBorder="1"/>
    <xf numFmtId="0" fontId="33" fillId="0" borderId="41" xfId="0" applyFont="1" applyBorder="1"/>
    <xf numFmtId="4" fontId="33" fillId="0" borderId="11" xfId="0" applyNumberFormat="1" applyFont="1" applyBorder="1"/>
    <xf numFmtId="0" fontId="33" fillId="0" borderId="31" xfId="0" applyFont="1" applyBorder="1"/>
    <xf numFmtId="0" fontId="33" fillId="19" borderId="29" xfId="0" applyFont="1" applyFill="1" applyBorder="1" applyAlignment="1">
      <alignment horizontal="center"/>
    </xf>
    <xf numFmtId="4" fontId="33" fillId="0" borderId="29" xfId="0" applyNumberFormat="1" applyFont="1" applyBorder="1"/>
    <xf numFmtId="0" fontId="33" fillId="0" borderId="99" xfId="0" applyFont="1" applyBorder="1"/>
    <xf numFmtId="4" fontId="33" fillId="0" borderId="53" xfId="0" applyNumberFormat="1" applyFont="1" applyBorder="1"/>
    <xf numFmtId="0" fontId="33" fillId="0" borderId="2" xfId="0" applyFont="1" applyBorder="1"/>
    <xf numFmtId="0" fontId="33" fillId="0" borderId="88" xfId="0" applyFont="1" applyBorder="1"/>
    <xf numFmtId="4" fontId="33" fillId="9" borderId="78" xfId="0" applyNumberFormat="1" applyFont="1" applyFill="1" applyBorder="1" applyAlignment="1">
      <alignment horizontal="center" vertical="center" wrapText="1"/>
    </xf>
    <xf numFmtId="0" fontId="33" fillId="9" borderId="90" xfId="0" applyFont="1" applyFill="1" applyBorder="1" applyAlignment="1">
      <alignment horizontal="center" vertical="center" wrapText="1"/>
    </xf>
    <xf numFmtId="0" fontId="26" fillId="11" borderId="30" xfId="0" applyFont="1" applyFill="1" applyBorder="1" applyAlignment="1">
      <alignment horizontal="center" vertical="center" wrapText="1"/>
    </xf>
    <xf numFmtId="0" fontId="33" fillId="0" borderId="30" xfId="0" applyFont="1" applyBorder="1"/>
    <xf numFmtId="0" fontId="33" fillId="0" borderId="30" xfId="0" applyFont="1" applyBorder="1" applyAlignment="1">
      <alignment horizontal="center" wrapText="1"/>
    </xf>
    <xf numFmtId="0" fontId="0" fillId="0" borderId="30" xfId="0" applyBorder="1" applyAlignment="1">
      <alignment horizontal="center" vertical="center" wrapText="1"/>
    </xf>
    <xf numFmtId="2" fontId="2" fillId="0" borderId="3" xfId="0" applyNumberFormat="1" applyFont="1" applyBorder="1" applyAlignment="1">
      <alignment horizontal="right" vertical="top" wrapText="1"/>
    </xf>
    <xf numFmtId="0" fontId="26" fillId="0" borderId="73" xfId="0" applyFont="1" applyBorder="1" applyAlignment="1">
      <alignment horizontal="center" wrapText="1"/>
    </xf>
    <xf numFmtId="0" fontId="26" fillId="0" borderId="100" xfId="0" applyFont="1" applyBorder="1" applyAlignment="1">
      <alignment horizontal="center" wrapText="1"/>
    </xf>
    <xf numFmtId="0" fontId="33" fillId="0" borderId="101" xfId="0" applyFont="1" applyBorder="1" applyAlignment="1">
      <alignment horizontal="center" wrapText="1"/>
    </xf>
    <xf numFmtId="0" fontId="33" fillId="0" borderId="28" xfId="0" applyFont="1" applyBorder="1" applyAlignment="1">
      <alignment horizontal="center"/>
    </xf>
    <xf numFmtId="0" fontId="33" fillId="44" borderId="7" xfId="0" applyFont="1" applyFill="1" applyBorder="1"/>
    <xf numFmtId="0" fontId="29" fillId="44" borderId="0" xfId="0" applyFont="1" applyFill="1" applyAlignment="1">
      <alignment horizontal="center"/>
    </xf>
    <xf numFmtId="0" fontId="29" fillId="44" borderId="0" xfId="0" applyFont="1" applyFill="1"/>
    <xf numFmtId="0" fontId="18" fillId="45" borderId="3" xfId="0" applyFont="1" applyFill="1" applyBorder="1" applyAlignment="1">
      <alignment horizontal="center" vertical="top" wrapText="1"/>
    </xf>
    <xf numFmtId="0" fontId="18" fillId="45" borderId="4" xfId="0" applyFont="1" applyFill="1" applyBorder="1" applyAlignment="1">
      <alignment horizontal="center" vertical="top" wrapText="1"/>
    </xf>
    <xf numFmtId="0" fontId="18" fillId="45" borderId="1" xfId="0" applyFont="1" applyFill="1" applyBorder="1" applyAlignment="1">
      <alignment horizontal="center" vertical="top" wrapText="1"/>
    </xf>
    <xf numFmtId="0" fontId="18" fillId="45" borderId="4" xfId="0" applyFont="1" applyFill="1" applyBorder="1" applyAlignment="1">
      <alignment horizontal="justify" vertical="top" wrapText="1"/>
    </xf>
    <xf numFmtId="165" fontId="18" fillId="45" borderId="4" xfId="43" applyFont="1" applyFill="1" applyBorder="1" applyAlignment="1">
      <alignment horizontal="right" vertical="top" wrapText="1"/>
    </xf>
    <xf numFmtId="165" fontId="18" fillId="45" borderId="1" xfId="43" applyFont="1" applyFill="1" applyBorder="1" applyAlignment="1">
      <alignment horizontal="right" vertical="top" wrapText="1"/>
    </xf>
    <xf numFmtId="165" fontId="18" fillId="45" borderId="6" xfId="43" applyFont="1" applyFill="1" applyBorder="1" applyAlignment="1">
      <alignment horizontal="right" vertical="top" wrapText="1"/>
    </xf>
    <xf numFmtId="165" fontId="18" fillId="45" borderId="7" xfId="43" applyFont="1" applyFill="1" applyBorder="1" applyAlignment="1">
      <alignment horizontal="right" vertical="top" wrapText="1"/>
    </xf>
    <xf numFmtId="165" fontId="18" fillId="45" borderId="19" xfId="43" applyFont="1" applyFill="1" applyBorder="1" applyAlignment="1">
      <alignment horizontal="right" vertical="top" wrapText="1"/>
    </xf>
    <xf numFmtId="0" fontId="19" fillId="45" borderId="4" xfId="0" applyFont="1" applyFill="1" applyBorder="1" applyAlignment="1">
      <alignment horizontal="justify" vertical="top" wrapText="1"/>
    </xf>
    <xf numFmtId="3" fontId="18" fillId="45" borderId="4" xfId="0" applyNumberFormat="1" applyFont="1" applyFill="1" applyBorder="1" applyAlignment="1">
      <alignment horizontal="center" vertical="top" wrapText="1"/>
    </xf>
    <xf numFmtId="0" fontId="43" fillId="0" borderId="4" xfId="0" applyFont="1" applyBorder="1" applyAlignment="1">
      <alignment horizontal="center" vertical="top" wrapText="1"/>
    </xf>
    <xf numFmtId="0" fontId="26" fillId="9" borderId="73" xfId="0" applyFont="1" applyFill="1" applyBorder="1"/>
    <xf numFmtId="0" fontId="26" fillId="15" borderId="6" xfId="0" applyFont="1" applyFill="1" applyBorder="1"/>
    <xf numFmtId="0" fontId="26" fillId="12" borderId="105" xfId="0" applyFont="1" applyFill="1" applyBorder="1" applyAlignment="1">
      <alignment horizontal="center" wrapText="1"/>
    </xf>
    <xf numFmtId="0" fontId="26" fillId="12" borderId="46" xfId="0" applyFont="1" applyFill="1" applyBorder="1" applyAlignment="1">
      <alignment horizontal="center" wrapText="1"/>
    </xf>
    <xf numFmtId="0" fontId="26" fillId="0" borderId="49" xfId="0" applyFont="1" applyBorder="1" applyAlignment="1">
      <alignment horizontal="center" vertical="center" wrapText="1"/>
    </xf>
    <xf numFmtId="0" fontId="26" fillId="0" borderId="48" xfId="0" applyFont="1" applyBorder="1" applyAlignment="1">
      <alignment horizontal="center" vertical="center" wrapText="1"/>
    </xf>
    <xf numFmtId="0" fontId="36" fillId="0" borderId="20" xfId="0" applyFont="1" applyBorder="1" applyAlignment="1">
      <alignment horizontal="center" wrapText="1"/>
    </xf>
    <xf numFmtId="0" fontId="62" fillId="0" borderId="0" xfId="0" applyFont="1" applyAlignment="1">
      <alignment vertical="center"/>
    </xf>
    <xf numFmtId="0" fontId="61" fillId="0" borderId="102" xfId="0" applyFont="1" applyBorder="1" applyAlignment="1">
      <alignment vertical="center"/>
    </xf>
    <xf numFmtId="0" fontId="63" fillId="0" borderId="89" xfId="0" applyFont="1" applyBorder="1" applyAlignment="1">
      <alignment horizontal="right" vertical="center"/>
    </xf>
    <xf numFmtId="10" fontId="62" fillId="0" borderId="103" xfId="0" applyNumberFormat="1" applyFont="1" applyBorder="1" applyAlignment="1">
      <alignment vertical="center"/>
    </xf>
    <xf numFmtId="0" fontId="61" fillId="0" borderId="10" xfId="0" applyFont="1" applyBorder="1" applyAlignment="1">
      <alignment vertical="center"/>
    </xf>
    <xf numFmtId="0" fontId="63" fillId="0" borderId="0" xfId="0" applyFont="1" applyBorder="1" applyAlignment="1">
      <alignment horizontal="right" vertical="center"/>
    </xf>
    <xf numFmtId="0" fontId="61" fillId="0" borderId="12" xfId="0" applyFont="1" applyBorder="1" applyAlignment="1">
      <alignment vertical="center"/>
    </xf>
    <xf numFmtId="0" fontId="62" fillId="0" borderId="39" xfId="0" applyFont="1" applyBorder="1" applyAlignment="1">
      <alignment vertical="center"/>
    </xf>
    <xf numFmtId="0" fontId="62" fillId="0" borderId="13" xfId="0" applyFont="1" applyBorder="1" applyAlignment="1">
      <alignment vertical="center"/>
    </xf>
    <xf numFmtId="0" fontId="62" fillId="0" borderId="0" xfId="0" applyFont="1" applyAlignment="1">
      <alignment vertical="center" wrapText="1"/>
    </xf>
    <xf numFmtId="0" fontId="63" fillId="46" borderId="30" xfId="0" applyFont="1" applyFill="1" applyBorder="1" applyAlignment="1">
      <alignment horizontal="center" vertical="center" wrapText="1"/>
    </xf>
    <xf numFmtId="0" fontId="62" fillId="0" borderId="30" xfId="0" applyFont="1" applyBorder="1" applyAlignment="1">
      <alignment horizontal="center" vertical="center"/>
    </xf>
    <xf numFmtId="0" fontId="62" fillId="0" borderId="30" xfId="0" applyFont="1" applyBorder="1" applyAlignment="1">
      <alignment vertical="center" wrapText="1"/>
    </xf>
    <xf numFmtId="0" fontId="62" fillId="0" borderId="30" xfId="0" applyFont="1" applyBorder="1" applyAlignment="1">
      <alignment vertical="center"/>
    </xf>
    <xf numFmtId="165" fontId="62" fillId="0" borderId="30" xfId="43" applyFont="1" applyBorder="1" applyAlignment="1">
      <alignment vertical="center"/>
    </xf>
    <xf numFmtId="0" fontId="63" fillId="46" borderId="30" xfId="0" applyFont="1" applyFill="1" applyBorder="1" applyAlignment="1">
      <alignment horizontal="center" vertical="center"/>
    </xf>
    <xf numFmtId="0" fontId="63" fillId="46" borderId="30" xfId="0" applyFont="1" applyFill="1" applyBorder="1" applyAlignment="1">
      <alignment vertical="center"/>
    </xf>
    <xf numFmtId="165" fontId="63" fillId="46" borderId="30" xfId="43" applyFont="1" applyFill="1" applyBorder="1" applyAlignment="1">
      <alignment vertical="center"/>
    </xf>
    <xf numFmtId="0" fontId="63" fillId="0" borderId="0" xfId="0" applyFont="1" applyAlignment="1">
      <alignment vertical="center"/>
    </xf>
    <xf numFmtId="0" fontId="62" fillId="46" borderId="30" xfId="0" applyFont="1" applyFill="1" applyBorder="1" applyAlignment="1">
      <alignment horizontal="center" vertical="center"/>
    </xf>
    <xf numFmtId="0" fontId="62" fillId="46" borderId="30" xfId="0" applyFont="1" applyFill="1" applyBorder="1" applyAlignment="1">
      <alignment vertical="center" wrapText="1"/>
    </xf>
    <xf numFmtId="0" fontId="62" fillId="46" borderId="30" xfId="0" applyFont="1" applyFill="1" applyBorder="1" applyAlignment="1">
      <alignment vertical="center"/>
    </xf>
    <xf numFmtId="165" fontId="62" fillId="46" borderId="30" xfId="43" applyFont="1" applyFill="1" applyBorder="1" applyAlignment="1">
      <alignment vertical="center"/>
    </xf>
    <xf numFmtId="165" fontId="62" fillId="0" borderId="30" xfId="43" applyFont="1" applyFill="1" applyBorder="1" applyAlignment="1">
      <alignment vertical="center"/>
    </xf>
    <xf numFmtId="0" fontId="62" fillId="0" borderId="30" xfId="0" applyFont="1" applyFill="1" applyBorder="1" applyAlignment="1">
      <alignment horizontal="center" vertical="center"/>
    </xf>
    <xf numFmtId="0" fontId="62" fillId="0" borderId="30" xfId="0" applyFont="1" applyFill="1" applyBorder="1" applyAlignment="1">
      <alignment vertical="center" wrapText="1"/>
    </xf>
    <xf numFmtId="0" fontId="62" fillId="0" borderId="30" xfId="0" applyFont="1" applyFill="1" applyBorder="1" applyAlignment="1">
      <alignment vertical="center"/>
    </xf>
    <xf numFmtId="0" fontId="62" fillId="0" borderId="0" xfId="0" applyFont="1" applyFill="1" applyAlignment="1">
      <alignment vertical="center"/>
    </xf>
    <xf numFmtId="0" fontId="63" fillId="46" borderId="30" xfId="0" applyFont="1" applyFill="1" applyBorder="1" applyAlignment="1">
      <alignment vertical="center" wrapText="1"/>
    </xf>
    <xf numFmtId="0" fontId="63" fillId="0" borderId="30" xfId="0" applyFont="1" applyBorder="1" applyAlignment="1">
      <alignment vertical="center" wrapText="1"/>
    </xf>
    <xf numFmtId="0" fontId="64" fillId="46" borderId="30" xfId="0" applyFont="1" applyFill="1" applyBorder="1" applyAlignment="1">
      <alignment horizontal="left" vertical="center" wrapText="1"/>
    </xf>
    <xf numFmtId="0" fontId="64" fillId="46" borderId="30" xfId="0" applyFont="1" applyFill="1" applyBorder="1" applyAlignment="1">
      <alignment horizontal="center" vertical="center"/>
    </xf>
    <xf numFmtId="0" fontId="64" fillId="46" borderId="30" xfId="43" applyNumberFormat="1" applyFont="1" applyFill="1" applyBorder="1" applyAlignment="1">
      <alignment horizontal="right" vertical="center"/>
    </xf>
    <xf numFmtId="49" fontId="5" fillId="9" borderId="30" xfId="0" applyNumberFormat="1" applyFont="1" applyFill="1" applyBorder="1" applyAlignment="1">
      <alignment vertical="center" wrapText="1"/>
    </xf>
    <xf numFmtId="0" fontId="5" fillId="0" borderId="30" xfId="0" applyFont="1" applyBorder="1" applyAlignment="1">
      <alignment horizontal="center" vertical="center" wrapText="1"/>
    </xf>
    <xf numFmtId="0" fontId="5" fillId="0" borderId="30" xfId="0" applyFont="1" applyBorder="1" applyAlignment="1">
      <alignment vertical="center" wrapText="1"/>
    </xf>
    <xf numFmtId="0" fontId="62" fillId="0" borderId="30" xfId="0" applyFont="1" applyBorder="1" applyAlignment="1">
      <alignment horizontal="center" vertical="center" wrapText="1"/>
    </xf>
    <xf numFmtId="0" fontId="4" fillId="46" borderId="30" xfId="0" applyFont="1" applyFill="1" applyBorder="1" applyAlignment="1">
      <alignment horizontal="center" vertical="center"/>
    </xf>
    <xf numFmtId="0" fontId="4" fillId="46" borderId="30" xfId="0" applyFont="1" applyFill="1" applyBorder="1" applyAlignment="1">
      <alignment vertical="center" wrapText="1"/>
    </xf>
    <xf numFmtId="0" fontId="4" fillId="46" borderId="30" xfId="0" applyFont="1" applyFill="1" applyBorder="1" applyAlignment="1">
      <alignment vertical="center"/>
    </xf>
    <xf numFmtId="165" fontId="4" fillId="46" borderId="30" xfId="43" applyFont="1" applyFill="1" applyBorder="1" applyAlignment="1">
      <alignment vertical="center"/>
    </xf>
    <xf numFmtId="0" fontId="5" fillId="0" borderId="0" xfId="0" applyFont="1" applyFill="1" applyAlignment="1">
      <alignment vertical="center"/>
    </xf>
    <xf numFmtId="0" fontId="5" fillId="0" borderId="0" xfId="0" applyFont="1" applyAlignment="1">
      <alignment vertical="center" wrapText="1"/>
    </xf>
    <xf numFmtId="0" fontId="64" fillId="0" borderId="30" xfId="0" applyFont="1" applyFill="1" applyBorder="1" applyAlignment="1" applyProtection="1">
      <alignment horizontal="center" vertical="center" wrapText="1"/>
      <protection hidden="1"/>
    </xf>
    <xf numFmtId="0" fontId="64" fillId="0" borderId="30" xfId="0" applyFont="1" applyFill="1" applyBorder="1" applyAlignment="1" applyProtection="1">
      <alignment horizontal="left" vertical="center" wrapText="1"/>
      <protection hidden="1"/>
    </xf>
    <xf numFmtId="0" fontId="64" fillId="0" borderId="30" xfId="43" applyNumberFormat="1" applyFont="1" applyFill="1" applyBorder="1" applyAlignment="1" applyProtection="1">
      <alignment horizontal="right" vertical="center" wrapText="1"/>
      <protection hidden="1"/>
    </xf>
    <xf numFmtId="0" fontId="64" fillId="0" borderId="30" xfId="43" applyNumberFormat="1" applyFont="1" applyFill="1" applyBorder="1" applyAlignment="1" applyProtection="1">
      <alignment horizontal="right" vertical="center" wrapText="1"/>
    </xf>
    <xf numFmtId="165" fontId="64" fillId="0" borderId="30" xfId="43" applyFont="1" applyFill="1" applyBorder="1" applyAlignment="1" applyProtection="1">
      <alignment horizontal="right" vertical="center" wrapText="1"/>
    </xf>
    <xf numFmtId="165" fontId="64" fillId="0" borderId="30" xfId="43" applyFont="1" applyFill="1" applyBorder="1" applyAlignment="1" applyProtection="1">
      <alignment horizontal="center" vertical="center" wrapText="1"/>
    </xf>
    <xf numFmtId="165" fontId="64" fillId="0" borderId="30" xfId="43" applyFont="1" applyFill="1" applyBorder="1" applyAlignment="1">
      <alignment horizontal="center" vertical="center"/>
    </xf>
    <xf numFmtId="165" fontId="64" fillId="0" borderId="30" xfId="43" applyFont="1" applyFill="1" applyBorder="1" applyAlignment="1" applyProtection="1">
      <alignment horizontal="center" vertical="center"/>
    </xf>
    <xf numFmtId="0" fontId="62" fillId="0" borderId="0" xfId="0" applyFont="1" applyFill="1" applyBorder="1" applyAlignment="1">
      <alignment vertical="center" wrapText="1"/>
    </xf>
    <xf numFmtId="0" fontId="62" fillId="0" borderId="0" xfId="0" applyFont="1" applyFill="1" applyAlignment="1">
      <alignment vertical="center" wrapText="1"/>
    </xf>
    <xf numFmtId="43" fontId="4" fillId="46" borderId="30" xfId="0" applyNumberFormat="1" applyFont="1" applyFill="1" applyBorder="1" applyAlignment="1">
      <alignment vertical="center"/>
    </xf>
    <xf numFmtId="165" fontId="12" fillId="46" borderId="92" xfId="43" applyFont="1" applyFill="1" applyBorder="1" applyAlignment="1" applyProtection="1">
      <alignment vertical="center"/>
      <protection hidden="1"/>
    </xf>
    <xf numFmtId="167" fontId="12" fillId="46" borderId="92" xfId="0" applyNumberFormat="1" applyFont="1" applyFill="1" applyBorder="1" applyAlignment="1" applyProtection="1">
      <alignment vertical="center"/>
      <protection hidden="1"/>
    </xf>
    <xf numFmtId="0" fontId="4" fillId="0" borderId="0" xfId="0" applyFont="1" applyFill="1" applyAlignment="1">
      <alignment vertical="center"/>
    </xf>
    <xf numFmtId="0" fontId="4" fillId="0" borderId="92" xfId="0" applyFont="1" applyFill="1" applyBorder="1" applyAlignment="1">
      <alignment horizontal="center" vertical="center"/>
    </xf>
    <xf numFmtId="0" fontId="4" fillId="0" borderId="30" xfId="0" applyFont="1" applyFill="1" applyBorder="1" applyAlignment="1">
      <alignment vertical="center" wrapText="1"/>
    </xf>
    <xf numFmtId="0" fontId="4" fillId="0" borderId="30" xfId="0" applyFont="1" applyFill="1" applyBorder="1" applyAlignment="1">
      <alignment horizontal="center" vertical="center"/>
    </xf>
    <xf numFmtId="0" fontId="4" fillId="0" borderId="92" xfId="0" applyFont="1" applyFill="1" applyBorder="1" applyAlignment="1">
      <alignment vertical="center"/>
    </xf>
    <xf numFmtId="165" fontId="4" fillId="0" borderId="92" xfId="43" applyFont="1" applyFill="1" applyBorder="1" applyAlignment="1">
      <alignment vertical="center"/>
    </xf>
    <xf numFmtId="0" fontId="64" fillId="46" borderId="30" xfId="0" applyFont="1" applyFill="1" applyBorder="1" applyAlignment="1">
      <alignment horizontal="center" vertical="center" wrapText="1"/>
    </xf>
    <xf numFmtId="0" fontId="64" fillId="46" borderId="30" xfId="0" applyFont="1" applyFill="1" applyBorder="1" applyAlignment="1" applyProtection="1">
      <alignment horizontal="center" vertical="center" wrapText="1"/>
      <protection hidden="1"/>
    </xf>
    <xf numFmtId="165" fontId="64" fillId="46" borderId="30" xfId="43" applyFont="1" applyFill="1" applyBorder="1" applyAlignment="1">
      <alignment horizontal="right" vertical="center"/>
    </xf>
    <xf numFmtId="165" fontId="62" fillId="46" borderId="30" xfId="43" applyFont="1" applyFill="1" applyBorder="1" applyAlignment="1">
      <alignment vertical="center" wrapText="1"/>
    </xf>
    <xf numFmtId="0" fontId="62" fillId="0" borderId="92" xfId="0" applyFont="1" applyFill="1" applyBorder="1" applyAlignment="1">
      <alignment horizontal="center" vertical="center"/>
    </xf>
    <xf numFmtId="0" fontId="64" fillId="0" borderId="30" xfId="0" applyFont="1" applyFill="1" applyBorder="1" applyAlignment="1">
      <alignment vertical="center" wrapText="1"/>
    </xf>
    <xf numFmtId="167" fontId="64" fillId="0" borderId="30" xfId="0" applyNumberFormat="1" applyFont="1" applyFill="1" applyBorder="1" applyAlignment="1" applyProtection="1">
      <alignment horizontal="justify" vertical="center" wrapText="1"/>
      <protection hidden="1"/>
    </xf>
    <xf numFmtId="167" fontId="64" fillId="0" borderId="30" xfId="0" applyNumberFormat="1" applyFont="1" applyFill="1" applyBorder="1" applyAlignment="1" applyProtection="1">
      <alignment horizontal="center" vertical="center"/>
      <protection hidden="1"/>
    </xf>
    <xf numFmtId="0" fontId="64" fillId="0" borderId="30" xfId="43" applyNumberFormat="1" applyFont="1" applyFill="1" applyBorder="1" applyAlignment="1" applyProtection="1">
      <alignment horizontal="right" vertical="center"/>
      <protection hidden="1"/>
    </xf>
    <xf numFmtId="165" fontId="62" fillId="0" borderId="92" xfId="43" applyFont="1" applyFill="1" applyBorder="1" applyAlignment="1">
      <alignment vertical="center"/>
    </xf>
    <xf numFmtId="0" fontId="64" fillId="0" borderId="30" xfId="43" applyNumberFormat="1" applyFont="1" applyFill="1" applyBorder="1" applyAlignment="1">
      <alignment horizontal="right" vertical="center"/>
    </xf>
    <xf numFmtId="165" fontId="64" fillId="0" borderId="30" xfId="43" applyFont="1" applyFill="1" applyBorder="1" applyAlignment="1" applyProtection="1">
      <alignment horizontal="right" vertical="center"/>
      <protection hidden="1"/>
    </xf>
    <xf numFmtId="165" fontId="64" fillId="0" borderId="30" xfId="43" applyFont="1" applyFill="1" applyBorder="1" applyAlignment="1">
      <alignment vertical="center"/>
    </xf>
    <xf numFmtId="0" fontId="62" fillId="46" borderId="30" xfId="0" applyFont="1" applyFill="1" applyBorder="1" applyAlignment="1">
      <alignment horizontal="center" vertical="center" wrapText="1"/>
    </xf>
    <xf numFmtId="43" fontId="5" fillId="46" borderId="30" xfId="0" applyNumberFormat="1" applyFont="1" applyFill="1" applyBorder="1" applyAlignment="1">
      <alignment vertical="center"/>
    </xf>
    <xf numFmtId="165" fontId="64" fillId="46" borderId="30" xfId="43" applyFont="1" applyFill="1" applyBorder="1" applyAlignment="1">
      <alignment vertical="center"/>
    </xf>
    <xf numFmtId="0" fontId="5" fillId="0" borderId="30" xfId="0" applyFont="1" applyFill="1" applyBorder="1" applyAlignment="1">
      <alignment horizontal="center" vertical="center"/>
    </xf>
    <xf numFmtId="0" fontId="5" fillId="0" borderId="92" xfId="0" applyFont="1" applyFill="1" applyBorder="1" applyAlignment="1">
      <alignment horizontal="center" vertical="center"/>
    </xf>
    <xf numFmtId="0" fontId="5" fillId="0" borderId="30" xfId="0" applyFont="1" applyFill="1" applyBorder="1" applyAlignment="1">
      <alignment vertical="center" wrapText="1"/>
    </xf>
    <xf numFmtId="165" fontId="5" fillId="0" borderId="92" xfId="43" applyFont="1" applyFill="1" applyBorder="1" applyAlignment="1">
      <alignment vertical="center"/>
    </xf>
    <xf numFmtId="43" fontId="62" fillId="0" borderId="30" xfId="0" applyNumberFormat="1" applyFont="1" applyBorder="1" applyAlignment="1">
      <alignment vertical="center" wrapText="1"/>
    </xf>
    <xf numFmtId="0" fontId="5" fillId="0" borderId="30" xfId="0" applyFont="1" applyFill="1" applyBorder="1" applyAlignment="1">
      <alignment vertical="center"/>
    </xf>
    <xf numFmtId="165" fontId="5" fillId="0" borderId="30" xfId="43" applyFont="1" applyFill="1" applyBorder="1" applyAlignment="1">
      <alignment vertical="center"/>
    </xf>
    <xf numFmtId="0" fontId="5" fillId="0" borderId="92" xfId="0" applyFont="1" applyFill="1" applyBorder="1" applyAlignment="1">
      <alignment vertical="center"/>
    </xf>
    <xf numFmtId="0" fontId="5" fillId="46" borderId="30" xfId="0" applyFont="1" applyFill="1" applyBorder="1" applyAlignment="1">
      <alignment horizontal="center" vertical="center"/>
    </xf>
    <xf numFmtId="0" fontId="64" fillId="0" borderId="30" xfId="0" applyFont="1" applyFill="1" applyBorder="1" applyAlignment="1">
      <alignment horizontal="center" vertical="center" wrapText="1"/>
    </xf>
    <xf numFmtId="167" fontId="64" fillId="0" borderId="30" xfId="0" applyNumberFormat="1" applyFont="1" applyFill="1" applyBorder="1" applyAlignment="1" applyProtection="1">
      <alignment vertical="center" wrapText="1"/>
      <protection hidden="1"/>
    </xf>
    <xf numFmtId="167" fontId="64" fillId="0" borderId="30" xfId="0" applyNumberFormat="1" applyFont="1" applyFill="1" applyBorder="1" applyAlignment="1" applyProtection="1">
      <alignment horizontal="center" vertical="center" wrapText="1"/>
      <protection hidden="1"/>
    </xf>
    <xf numFmtId="165" fontId="64" fillId="47" borderId="30" xfId="43" applyFont="1" applyFill="1" applyBorder="1" applyAlignment="1">
      <alignment horizontal="right" vertical="center"/>
    </xf>
    <xf numFmtId="165" fontId="5" fillId="0" borderId="30" xfId="43" applyFont="1" applyBorder="1" applyAlignment="1">
      <alignment vertical="center" wrapText="1"/>
    </xf>
    <xf numFmtId="0" fontId="5" fillId="0" borderId="30" xfId="0" applyFont="1" applyFill="1" applyBorder="1" applyAlignment="1">
      <alignment horizontal="center" vertical="center" wrapText="1"/>
    </xf>
    <xf numFmtId="49" fontId="5" fillId="0" borderId="30" xfId="0" applyNumberFormat="1" applyFont="1" applyBorder="1" applyAlignment="1">
      <alignment vertical="center" wrapText="1"/>
    </xf>
    <xf numFmtId="165" fontId="5" fillId="47" borderId="92" xfId="43" applyFont="1" applyFill="1" applyBorder="1" applyAlignment="1">
      <alignment vertical="center"/>
    </xf>
    <xf numFmtId="165" fontId="62" fillId="0" borderId="30" xfId="43" applyFont="1" applyBorder="1" applyAlignment="1">
      <alignment vertical="center" wrapText="1"/>
    </xf>
    <xf numFmtId="49" fontId="5" fillId="46" borderId="30" xfId="0" applyNumberFormat="1" applyFont="1" applyFill="1" applyBorder="1" applyAlignment="1">
      <alignment horizontal="center" vertical="center"/>
    </xf>
    <xf numFmtId="165" fontId="5" fillId="46" borderId="30" xfId="44" applyFont="1" applyFill="1" applyBorder="1" applyAlignment="1">
      <alignment vertical="center"/>
    </xf>
    <xf numFmtId="49" fontId="5" fillId="47" borderId="30" xfId="0" applyNumberFormat="1" applyFont="1" applyFill="1" applyBorder="1" applyAlignment="1">
      <alignment horizontal="center" vertical="center"/>
    </xf>
    <xf numFmtId="0" fontId="5" fillId="47" borderId="30" xfId="0" applyFont="1" applyFill="1" applyBorder="1" applyAlignment="1">
      <alignment horizontal="center" vertical="center"/>
    </xf>
    <xf numFmtId="0" fontId="64" fillId="47" borderId="30" xfId="0" applyFont="1" applyFill="1" applyBorder="1" applyAlignment="1">
      <alignment horizontal="left" vertical="center" wrapText="1"/>
    </xf>
    <xf numFmtId="0" fontId="64" fillId="47" borderId="30" xfId="0" applyFont="1" applyFill="1" applyBorder="1" applyAlignment="1">
      <alignment horizontal="center" vertical="center"/>
    </xf>
    <xf numFmtId="0" fontId="64" fillId="47" borderId="30" xfId="43" applyNumberFormat="1" applyFont="1" applyFill="1" applyBorder="1" applyAlignment="1">
      <alignment horizontal="right" vertical="center"/>
    </xf>
    <xf numFmtId="165" fontId="5" fillId="47" borderId="30" xfId="44" applyFont="1" applyFill="1" applyBorder="1" applyAlignment="1">
      <alignment vertical="center"/>
    </xf>
    <xf numFmtId="165" fontId="5" fillId="47" borderId="30" xfId="43" applyFont="1" applyFill="1" applyBorder="1" applyAlignment="1">
      <alignment vertical="center" wrapText="1"/>
    </xf>
    <xf numFmtId="43" fontId="5" fillId="47" borderId="30" xfId="0" applyNumberFormat="1" applyFont="1" applyFill="1" applyBorder="1" applyAlignment="1">
      <alignment vertical="center"/>
    </xf>
    <xf numFmtId="165" fontId="64" fillId="47" borderId="92" xfId="43" applyFont="1" applyFill="1" applyBorder="1" applyAlignment="1" applyProtection="1">
      <alignment vertical="center"/>
      <protection hidden="1"/>
    </xf>
    <xf numFmtId="167" fontId="64" fillId="47" borderId="92" xfId="0" applyNumberFormat="1" applyFont="1" applyFill="1" applyBorder="1" applyAlignment="1" applyProtection="1">
      <alignment vertical="center"/>
      <protection hidden="1"/>
    </xf>
    <xf numFmtId="0" fontId="5" fillId="47" borderId="0" xfId="0" applyFont="1" applyFill="1" applyAlignment="1">
      <alignment vertical="center" wrapText="1"/>
    </xf>
    <xf numFmtId="0" fontId="4" fillId="0" borderId="0" xfId="0" applyFont="1" applyAlignment="1">
      <alignment vertical="center" wrapText="1"/>
    </xf>
    <xf numFmtId="165" fontId="5" fillId="46" borderId="30" xfId="43" applyFont="1" applyFill="1" applyBorder="1" applyAlignment="1">
      <alignment vertical="center" wrapText="1"/>
    </xf>
    <xf numFmtId="43" fontId="5" fillId="0" borderId="30" xfId="0" applyNumberFormat="1" applyFont="1" applyBorder="1" applyAlignment="1">
      <alignment vertical="center" wrapText="1"/>
    </xf>
    <xf numFmtId="165" fontId="64" fillId="46" borderId="30" xfId="43" applyFont="1" applyFill="1" applyBorder="1" applyAlignment="1">
      <alignment vertical="center" wrapText="1"/>
    </xf>
    <xf numFmtId="165" fontId="62" fillId="46" borderId="30" xfId="44" applyFont="1" applyFill="1" applyBorder="1" applyAlignment="1">
      <alignment vertical="center"/>
    </xf>
    <xf numFmtId="165" fontId="64" fillId="46" borderId="30" xfId="44" applyFont="1" applyFill="1" applyBorder="1" applyAlignment="1">
      <alignment vertical="center" wrapText="1"/>
    </xf>
    <xf numFmtId="165" fontId="64" fillId="46" borderId="30" xfId="44" applyFont="1" applyFill="1" applyBorder="1" applyAlignment="1">
      <alignment horizontal="right" vertical="center"/>
    </xf>
    <xf numFmtId="165" fontId="64" fillId="46" borderId="30" xfId="44" applyFont="1" applyFill="1" applyBorder="1" applyAlignment="1">
      <alignment vertical="center"/>
    </xf>
    <xf numFmtId="165" fontId="62" fillId="0" borderId="30" xfId="44" applyFont="1" applyFill="1" applyBorder="1" applyAlignment="1">
      <alignment vertical="center"/>
    </xf>
    <xf numFmtId="165" fontId="64" fillId="0" borderId="30" xfId="44" applyFont="1" applyFill="1" applyBorder="1" applyAlignment="1">
      <alignment vertical="center"/>
    </xf>
    <xf numFmtId="0" fontId="64" fillId="48" borderId="30" xfId="0" applyFont="1" applyFill="1" applyBorder="1" applyAlignment="1">
      <alignment horizontal="center" vertical="center" wrapText="1"/>
    </xf>
    <xf numFmtId="165" fontId="64" fillId="46" borderId="30" xfId="43" applyFont="1" applyFill="1" applyBorder="1" applyAlignment="1" applyProtection="1">
      <alignment horizontal="center" vertical="center" wrapText="1"/>
    </xf>
    <xf numFmtId="0" fontId="5" fillId="0" borderId="0" xfId="0" applyFont="1" applyFill="1" applyAlignment="1">
      <alignment vertical="center" wrapText="1"/>
    </xf>
    <xf numFmtId="165" fontId="5" fillId="0" borderId="30" xfId="43" applyFont="1" applyBorder="1" applyAlignment="1">
      <alignment vertical="center"/>
    </xf>
    <xf numFmtId="165" fontId="5" fillId="0" borderId="30" xfId="43" applyFont="1" applyFill="1" applyBorder="1" applyAlignment="1">
      <alignment vertical="center" wrapText="1"/>
    </xf>
    <xf numFmtId="0" fontId="5" fillId="47" borderId="92" xfId="0" applyFont="1" applyFill="1" applyBorder="1" applyAlignment="1">
      <alignment horizontal="center" vertical="center"/>
    </xf>
    <xf numFmtId="0" fontId="62" fillId="0" borderId="30" xfId="0" applyFont="1" applyFill="1" applyBorder="1" applyAlignment="1">
      <alignment horizontal="center" vertical="center" wrapText="1"/>
    </xf>
    <xf numFmtId="49" fontId="62" fillId="0" borderId="30" xfId="0" applyNumberFormat="1" applyFont="1" applyFill="1" applyBorder="1" applyAlignment="1">
      <alignment vertical="center" wrapText="1"/>
    </xf>
    <xf numFmtId="0" fontId="62" fillId="47" borderId="30" xfId="0" applyFont="1" applyFill="1" applyBorder="1" applyAlignment="1">
      <alignment vertical="center" wrapText="1"/>
    </xf>
    <xf numFmtId="165" fontId="62" fillId="0" borderId="30" xfId="43" applyFont="1" applyFill="1" applyBorder="1" applyAlignment="1">
      <alignment vertical="center" wrapText="1"/>
    </xf>
    <xf numFmtId="0" fontId="18" fillId="46" borderId="30" xfId="0" applyFont="1" applyFill="1" applyBorder="1" applyAlignment="1">
      <alignment horizontal="center" vertical="center"/>
    </xf>
    <xf numFmtId="0" fontId="64" fillId="46" borderId="30" xfId="0" applyNumberFormat="1" applyFont="1" applyFill="1" applyBorder="1" applyAlignment="1">
      <alignment horizontal="right" vertical="center"/>
    </xf>
    <xf numFmtId="165" fontId="64" fillId="46" borderId="30" xfId="43" applyFont="1" applyFill="1" applyBorder="1" applyAlignment="1">
      <alignment horizontal="right" vertical="center" wrapText="1"/>
    </xf>
    <xf numFmtId="0" fontId="5" fillId="9" borderId="30" xfId="0" applyFont="1" applyFill="1" applyBorder="1" applyAlignment="1">
      <alignment vertical="center" wrapText="1"/>
    </xf>
    <xf numFmtId="0" fontId="4" fillId="0" borderId="30" xfId="0" applyFont="1" applyFill="1" applyBorder="1" applyAlignment="1">
      <alignment vertical="center"/>
    </xf>
    <xf numFmtId="165" fontId="4" fillId="0" borderId="30" xfId="43" applyFont="1" applyFill="1" applyBorder="1" applyAlignment="1">
      <alignment vertical="center"/>
    </xf>
    <xf numFmtId="0" fontId="18" fillId="0" borderId="30" xfId="0" applyFont="1" applyFill="1" applyBorder="1" applyAlignment="1" applyProtection="1">
      <alignment horizontal="center" vertical="center" wrapText="1"/>
      <protection hidden="1"/>
    </xf>
    <xf numFmtId="165" fontId="62" fillId="46" borderId="30" xfId="44" applyFont="1" applyFill="1" applyBorder="1" applyAlignment="1">
      <alignment vertical="center" wrapText="1"/>
    </xf>
    <xf numFmtId="165" fontId="5" fillId="47" borderId="92" xfId="44" applyFont="1" applyFill="1" applyBorder="1" applyAlignment="1">
      <alignment vertical="center"/>
    </xf>
    <xf numFmtId="165" fontId="5" fillId="0" borderId="30" xfId="44" applyFont="1" applyBorder="1" applyAlignment="1">
      <alignment vertical="center" wrapText="1"/>
    </xf>
    <xf numFmtId="165" fontId="5" fillId="0" borderId="92" xfId="44" applyFont="1" applyFill="1" applyBorder="1" applyAlignment="1">
      <alignment vertical="center"/>
    </xf>
    <xf numFmtId="49" fontId="62" fillId="46" borderId="30" xfId="0" applyNumberFormat="1" applyFont="1" applyFill="1" applyBorder="1" applyAlignment="1">
      <alignment vertical="center" wrapText="1"/>
    </xf>
    <xf numFmtId="49" fontId="64" fillId="46" borderId="30" xfId="0" applyNumberFormat="1" applyFont="1" applyFill="1" applyBorder="1" applyAlignment="1">
      <alignment horizontal="left" vertical="center" wrapText="1"/>
    </xf>
    <xf numFmtId="165" fontId="5" fillId="46" borderId="30" xfId="43" applyFont="1" applyFill="1" applyBorder="1" applyAlignment="1">
      <alignment vertical="center"/>
    </xf>
    <xf numFmtId="165" fontId="62" fillId="46" borderId="30" xfId="0" applyNumberFormat="1" applyFont="1" applyFill="1" applyBorder="1" applyAlignment="1">
      <alignment vertical="center" wrapText="1"/>
    </xf>
    <xf numFmtId="0" fontId="62" fillId="47" borderId="0" xfId="0" applyFont="1" applyFill="1" applyAlignment="1">
      <alignment vertical="center" wrapText="1"/>
    </xf>
    <xf numFmtId="0" fontId="64" fillId="47" borderId="30" xfId="0" applyFont="1" applyFill="1" applyBorder="1" applyAlignment="1">
      <alignment horizontal="center" vertical="center" wrapText="1"/>
    </xf>
    <xf numFmtId="0" fontId="64" fillId="47" borderId="30" xfId="0" applyFont="1" applyFill="1" applyBorder="1" applyAlignment="1" applyProtection="1">
      <alignment horizontal="center" vertical="center" wrapText="1"/>
      <protection hidden="1"/>
    </xf>
    <xf numFmtId="165" fontId="64" fillId="47" borderId="92" xfId="43" applyFont="1" applyFill="1" applyBorder="1" applyAlignment="1">
      <alignment horizontal="right" vertical="center"/>
    </xf>
    <xf numFmtId="165" fontId="64" fillId="47" borderId="30" xfId="43" applyFont="1" applyFill="1" applyBorder="1" applyAlignment="1">
      <alignment vertical="center"/>
    </xf>
    <xf numFmtId="49" fontId="5" fillId="0" borderId="30" xfId="0" applyNumberFormat="1" applyFont="1" applyFill="1" applyBorder="1" applyAlignment="1">
      <alignment horizontal="center" vertical="center"/>
    </xf>
    <xf numFmtId="49" fontId="62" fillId="0" borderId="30" xfId="0" applyNumberFormat="1" applyFont="1" applyBorder="1" applyAlignment="1">
      <alignment vertical="center" wrapText="1"/>
    </xf>
    <xf numFmtId="167" fontId="64" fillId="46" borderId="30" xfId="0" applyNumberFormat="1" applyFont="1" applyFill="1" applyBorder="1" applyAlignment="1" applyProtection="1">
      <alignment horizontal="justify" vertical="center" wrapText="1"/>
      <protection hidden="1"/>
    </xf>
    <xf numFmtId="167" fontId="64" fillId="46" borderId="30" xfId="0" applyNumberFormat="1" applyFont="1" applyFill="1" applyBorder="1" applyAlignment="1" applyProtection="1">
      <alignment horizontal="center" vertical="center"/>
      <protection hidden="1"/>
    </xf>
    <xf numFmtId="0" fontId="64" fillId="46" borderId="30" xfId="43" applyNumberFormat="1" applyFont="1" applyFill="1" applyBorder="1" applyAlignment="1" applyProtection="1">
      <alignment horizontal="right" vertical="center"/>
      <protection hidden="1"/>
    </xf>
    <xf numFmtId="0" fontId="64" fillId="46" borderId="30" xfId="0" applyNumberFormat="1" applyFont="1" applyFill="1" applyBorder="1" applyAlignment="1" applyProtection="1">
      <alignment horizontal="right" vertical="center"/>
      <protection hidden="1"/>
    </xf>
    <xf numFmtId="0" fontId="63" fillId="0" borderId="0" xfId="0" applyFont="1" applyFill="1" applyAlignment="1">
      <alignment vertical="center"/>
    </xf>
    <xf numFmtId="0" fontId="5" fillId="47" borderId="30" xfId="0" applyFont="1" applyFill="1" applyBorder="1" applyAlignment="1">
      <alignment vertical="center" wrapText="1"/>
    </xf>
    <xf numFmtId="167" fontId="64" fillId="47" borderId="30" xfId="0" applyNumberFormat="1" applyFont="1" applyFill="1" applyBorder="1" applyAlignment="1" applyProtection="1">
      <alignment horizontal="justify" vertical="center" wrapText="1"/>
      <protection hidden="1"/>
    </xf>
    <xf numFmtId="167" fontId="64" fillId="47" borderId="30" xfId="0" applyNumberFormat="1" applyFont="1" applyFill="1" applyBorder="1" applyAlignment="1" applyProtection="1">
      <alignment horizontal="center" vertical="center"/>
      <protection hidden="1"/>
    </xf>
    <xf numFmtId="0" fontId="64" fillId="47" borderId="30" xfId="43" applyNumberFormat="1" applyFont="1" applyFill="1" applyBorder="1" applyAlignment="1" applyProtection="1">
      <alignment horizontal="right" vertical="center"/>
      <protection hidden="1"/>
    </xf>
    <xf numFmtId="0" fontId="64" fillId="47" borderId="30" xfId="0" applyNumberFormat="1" applyFont="1" applyFill="1" applyBorder="1" applyAlignment="1" applyProtection="1">
      <alignment horizontal="right" vertical="center"/>
      <protection hidden="1"/>
    </xf>
    <xf numFmtId="0" fontId="5" fillId="46" borderId="92" xfId="0" applyFont="1" applyFill="1" applyBorder="1" applyAlignment="1">
      <alignment horizontal="center" vertical="center"/>
    </xf>
    <xf numFmtId="49" fontId="5" fillId="0" borderId="30" xfId="0" applyNumberFormat="1" applyFont="1" applyFill="1" applyBorder="1" applyAlignment="1">
      <alignment vertical="center" wrapText="1"/>
    </xf>
    <xf numFmtId="43" fontId="5" fillId="0" borderId="30" xfId="0" applyNumberFormat="1" applyFont="1" applyFill="1" applyBorder="1" applyAlignment="1">
      <alignment vertical="center" wrapText="1"/>
    </xf>
    <xf numFmtId="0" fontId="18" fillId="9" borderId="30" xfId="0" applyFont="1" applyFill="1" applyBorder="1" applyAlignment="1">
      <alignment horizontal="center" vertical="center"/>
    </xf>
    <xf numFmtId="167" fontId="4" fillId="46" borderId="30" xfId="0" applyNumberFormat="1" applyFont="1" applyFill="1" applyBorder="1" applyAlignment="1">
      <alignment vertical="center"/>
    </xf>
    <xf numFmtId="0" fontId="62" fillId="46" borderId="92" xfId="0" applyFont="1" applyFill="1" applyBorder="1" applyAlignment="1">
      <alignment horizontal="center" vertical="center" wrapText="1"/>
    </xf>
    <xf numFmtId="0" fontId="63" fillId="46" borderId="92" xfId="0" applyFont="1" applyFill="1" applyBorder="1" applyAlignment="1">
      <alignment horizontal="right" vertical="center" wrapText="1"/>
    </xf>
    <xf numFmtId="0" fontId="62" fillId="46" borderId="92" xfId="0" applyFont="1" applyFill="1" applyBorder="1" applyAlignment="1">
      <alignment vertical="center" wrapText="1"/>
    </xf>
    <xf numFmtId="165" fontId="62" fillId="46" borderId="92" xfId="43" applyFont="1" applyFill="1" applyBorder="1" applyAlignment="1">
      <alignment vertical="center"/>
    </xf>
    <xf numFmtId="165" fontId="64" fillId="46" borderId="92" xfId="43" applyFont="1" applyFill="1" applyBorder="1" applyAlignment="1">
      <alignment vertical="center"/>
    </xf>
    <xf numFmtId="165" fontId="62" fillId="46" borderId="92" xfId="43" applyFont="1" applyFill="1" applyBorder="1" applyAlignment="1">
      <alignment vertical="center" wrapText="1"/>
    </xf>
    <xf numFmtId="165" fontId="12" fillId="46" borderId="92" xfId="43" applyFont="1" applyFill="1" applyBorder="1" applyAlignment="1">
      <alignment vertical="center"/>
    </xf>
    <xf numFmtId="0" fontId="62" fillId="0" borderId="0" xfId="0" applyFont="1" applyAlignment="1">
      <alignment horizontal="center" vertical="center"/>
    </xf>
    <xf numFmtId="165" fontId="62" fillId="0" borderId="0" xfId="43" applyFont="1" applyAlignment="1">
      <alignment vertical="center"/>
    </xf>
    <xf numFmtId="9" fontId="62" fillId="0" borderId="30" xfId="45" applyFont="1" applyBorder="1" applyAlignment="1">
      <alignment horizontal="center" vertical="center"/>
    </xf>
    <xf numFmtId="0" fontId="29" fillId="14" borderId="86" xfId="0" applyFont="1" applyFill="1" applyBorder="1" applyAlignment="1">
      <alignment horizontal="center"/>
    </xf>
    <xf numFmtId="10" fontId="29" fillId="9" borderId="6" xfId="0" applyNumberFormat="1" applyFont="1" applyFill="1" applyBorder="1"/>
    <xf numFmtId="4" fontId="26" fillId="9" borderId="19" xfId="0" applyNumberFormat="1" applyFont="1" applyFill="1" applyBorder="1"/>
    <xf numFmtId="10" fontId="29" fillId="15" borderId="6" xfId="0" applyNumberFormat="1" applyFont="1" applyFill="1" applyBorder="1"/>
    <xf numFmtId="4" fontId="26" fillId="15" borderId="19" xfId="0" applyNumberFormat="1" applyFont="1" applyFill="1" applyBorder="1"/>
    <xf numFmtId="10" fontId="29" fillId="9" borderId="20" xfId="0" applyNumberFormat="1" applyFont="1" applyFill="1" applyBorder="1"/>
    <xf numFmtId="4" fontId="26" fillId="9" borderId="21" xfId="0" applyNumberFormat="1" applyFont="1" applyFill="1" applyBorder="1"/>
    <xf numFmtId="0" fontId="0" fillId="0" borderId="10" xfId="0" applyFill="1" applyBorder="1" applyAlignment="1">
      <alignment horizontal="center"/>
    </xf>
    <xf numFmtId="0" fontId="0" fillId="0" borderId="0" xfId="0" applyFill="1" applyBorder="1" applyAlignment="1">
      <alignment wrapText="1"/>
    </xf>
    <xf numFmtId="10" fontId="29" fillId="15" borderId="0" xfId="0" applyNumberFormat="1" applyFont="1" applyFill="1" applyBorder="1"/>
    <xf numFmtId="4" fontId="26" fillId="15" borderId="0" xfId="0" applyNumberFormat="1" applyFont="1" applyFill="1" applyBorder="1"/>
    <xf numFmtId="4" fontId="26" fillId="15" borderId="11" xfId="0" applyNumberFormat="1" applyFont="1" applyFill="1" applyBorder="1"/>
    <xf numFmtId="4" fontId="0" fillId="0" borderId="10" xfId="0" applyNumberFormat="1" applyFill="1" applyBorder="1"/>
    <xf numFmtId="10" fontId="0" fillId="0" borderId="11" xfId="0" applyNumberFormat="1" applyBorder="1"/>
    <xf numFmtId="10" fontId="62" fillId="0" borderId="11" xfId="0" applyNumberFormat="1" applyFont="1" applyBorder="1" applyAlignment="1">
      <alignment vertical="center"/>
    </xf>
    <xf numFmtId="0" fontId="0" fillId="0" borderId="26" xfId="0" applyBorder="1" applyAlignment="1">
      <alignment horizontal="left" vertical="center" wrapText="1"/>
    </xf>
    <xf numFmtId="4" fontId="0" fillId="0" borderId="115" xfId="0" applyNumberFormat="1" applyBorder="1" applyAlignment="1">
      <alignment vertical="center" wrapText="1"/>
    </xf>
    <xf numFmtId="10" fontId="0" fillId="0" borderId="26" xfId="0" applyNumberFormat="1" applyFont="1" applyBorder="1" applyAlignment="1">
      <alignment vertical="center"/>
    </xf>
    <xf numFmtId="4" fontId="22" fillId="15" borderId="116" xfId="0" applyNumberFormat="1" applyFont="1" applyFill="1" applyBorder="1" applyAlignment="1">
      <alignment horizontal="right"/>
    </xf>
    <xf numFmtId="10" fontId="22" fillId="15" borderId="30" xfId="0" applyNumberFormat="1" applyFont="1" applyFill="1" applyBorder="1" applyAlignment="1">
      <alignment horizontal="right"/>
    </xf>
    <xf numFmtId="0" fontId="0" fillId="0" borderId="25" xfId="0" applyFill="1" applyBorder="1" applyAlignment="1">
      <alignment horizontal="center"/>
    </xf>
    <xf numFmtId="10" fontId="29" fillId="15" borderId="20" xfId="0" applyNumberFormat="1" applyFont="1" applyFill="1" applyBorder="1"/>
    <xf numFmtId="4" fontId="26" fillId="15" borderId="21" xfId="0" applyNumberFormat="1" applyFont="1" applyFill="1" applyBorder="1"/>
    <xf numFmtId="0" fontId="0" fillId="0" borderId="32" xfId="0" applyBorder="1" applyAlignment="1">
      <alignment wrapText="1"/>
    </xf>
    <xf numFmtId="0" fontId="0" fillId="0" borderId="10" xfId="0" applyBorder="1" applyAlignment="1">
      <alignment wrapText="1"/>
    </xf>
    <xf numFmtId="0" fontId="32" fillId="0" borderId="35" xfId="0" applyFont="1" applyBorder="1" applyAlignment="1">
      <alignment wrapText="1"/>
    </xf>
    <xf numFmtId="0" fontId="0" fillId="0" borderId="117" xfId="0" applyBorder="1" applyAlignment="1">
      <alignment wrapText="1"/>
    </xf>
    <xf numFmtId="0" fontId="32" fillId="0" borderId="117" xfId="0" applyFont="1" applyBorder="1" applyAlignment="1">
      <alignment wrapText="1"/>
    </xf>
    <xf numFmtId="0" fontId="32" fillId="0" borderId="3" xfId="0" applyFont="1" applyBorder="1" applyAlignment="1">
      <alignment wrapText="1"/>
    </xf>
    <xf numFmtId="0" fontId="32" fillId="0" borderId="38" xfId="0" applyFont="1" applyBorder="1" applyAlignment="1">
      <alignment wrapText="1"/>
    </xf>
    <xf numFmtId="0" fontId="41" fillId="0" borderId="3" xfId="0" applyFont="1" applyBorder="1" applyAlignment="1">
      <alignment wrapText="1"/>
    </xf>
    <xf numFmtId="0" fontId="32" fillId="9" borderId="3" xfId="0" applyFont="1" applyFill="1" applyBorder="1" applyAlignment="1">
      <alignment wrapText="1"/>
    </xf>
    <xf numFmtId="0" fontId="0" fillId="0" borderId="38" xfId="0" applyBorder="1" applyAlignment="1">
      <alignment wrapText="1"/>
    </xf>
    <xf numFmtId="0" fontId="32" fillId="0" borderId="32" xfId="0" applyFont="1" applyBorder="1" applyAlignment="1">
      <alignment wrapText="1"/>
    </xf>
    <xf numFmtId="0" fontId="0" fillId="0" borderId="32" xfId="0" applyBorder="1" applyAlignment="1">
      <alignment horizontal="left" wrapText="1"/>
    </xf>
    <xf numFmtId="0" fontId="0" fillId="0" borderId="32" xfId="0" applyFill="1" applyBorder="1" applyAlignment="1">
      <alignment wrapText="1"/>
    </xf>
    <xf numFmtId="10" fontId="39" fillId="0" borderId="5" xfId="0" applyNumberFormat="1" applyFont="1" applyBorder="1"/>
    <xf numFmtId="10" fontId="39" fillId="15" borderId="5" xfId="0" applyNumberFormat="1" applyFont="1" applyFill="1" applyBorder="1"/>
    <xf numFmtId="0" fontId="39" fillId="0" borderId="28" xfId="0" applyFont="1" applyBorder="1"/>
    <xf numFmtId="10" fontId="39" fillId="0" borderId="101" xfId="0" applyNumberFormat="1" applyFont="1" applyBorder="1"/>
    <xf numFmtId="10" fontId="39" fillId="0" borderId="28" xfId="0" applyNumberFormat="1" applyFont="1" applyBorder="1"/>
    <xf numFmtId="10" fontId="39" fillId="9" borderId="27" xfId="0" applyNumberFormat="1" applyFont="1" applyFill="1" applyBorder="1"/>
    <xf numFmtId="10" fontId="39" fillId="9" borderId="28" xfId="0" applyNumberFormat="1" applyFont="1" applyFill="1" applyBorder="1"/>
    <xf numFmtId="10" fontId="39" fillId="9" borderId="100" xfId="0" applyNumberFormat="1" applyFont="1" applyFill="1" applyBorder="1"/>
    <xf numFmtId="10" fontId="39" fillId="9" borderId="101" xfId="0" applyNumberFormat="1" applyFont="1" applyFill="1" applyBorder="1"/>
    <xf numFmtId="0" fontId="39" fillId="0" borderId="118" xfId="0" applyFont="1" applyBorder="1"/>
    <xf numFmtId="10" fontId="39" fillId="9" borderId="5" xfId="0" applyNumberFormat="1" applyFont="1" applyFill="1" applyBorder="1"/>
    <xf numFmtId="10" fontId="29" fillId="9" borderId="5" xfId="0" applyNumberFormat="1" applyFont="1" applyFill="1" applyBorder="1"/>
    <xf numFmtId="10" fontId="29" fillId="15" borderId="5" xfId="0" applyNumberFormat="1" applyFont="1" applyFill="1" applyBorder="1"/>
    <xf numFmtId="10" fontId="29" fillId="9" borderId="28" xfId="0" applyNumberFormat="1" applyFont="1" applyFill="1" applyBorder="1"/>
    <xf numFmtId="10" fontId="29" fillId="15" borderId="28" xfId="0" applyNumberFormat="1" applyFont="1" applyFill="1" applyBorder="1"/>
    <xf numFmtId="10" fontId="39" fillId="0" borderId="23" xfId="0" applyNumberFormat="1" applyFont="1" applyBorder="1"/>
    <xf numFmtId="4" fontId="33" fillId="0" borderId="22" xfId="0" applyNumberFormat="1" applyFont="1" applyBorder="1"/>
    <xf numFmtId="0" fontId="39" fillId="14" borderId="85" xfId="0" applyFont="1" applyFill="1" applyBorder="1" applyAlignment="1">
      <alignment horizontal="center"/>
    </xf>
    <xf numFmtId="0" fontId="39" fillId="0" borderId="12" xfId="0" applyFont="1" applyBorder="1"/>
    <xf numFmtId="0" fontId="33" fillId="0" borderId="13" xfId="0" applyFont="1" applyBorder="1"/>
    <xf numFmtId="0" fontId="29" fillId="14" borderId="85" xfId="0" applyFont="1" applyFill="1" applyBorder="1" applyAlignment="1">
      <alignment horizontal="center"/>
    </xf>
    <xf numFmtId="10" fontId="29" fillId="15" borderId="10" xfId="0" applyNumberFormat="1" applyFont="1" applyFill="1" applyBorder="1"/>
    <xf numFmtId="4" fontId="33" fillId="0" borderId="37" xfId="0" applyNumberFormat="1" applyFont="1" applyBorder="1"/>
    <xf numFmtId="4" fontId="33" fillId="15" borderId="37" xfId="0" applyNumberFormat="1" applyFont="1" applyFill="1" applyBorder="1"/>
    <xf numFmtId="4" fontId="33" fillId="0" borderId="97" xfId="0" applyNumberFormat="1" applyFont="1" applyBorder="1"/>
    <xf numFmtId="4" fontId="33" fillId="0" borderId="41" xfId="0" applyNumberFormat="1" applyFont="1" applyBorder="1"/>
    <xf numFmtId="4" fontId="33" fillId="9" borderId="40" xfId="0" applyNumberFormat="1" applyFont="1" applyFill="1" applyBorder="1"/>
    <xf numFmtId="4" fontId="33" fillId="9" borderId="41" xfId="0" applyNumberFormat="1" applyFont="1" applyFill="1" applyBorder="1"/>
    <xf numFmtId="4" fontId="33" fillId="9" borderId="98" xfId="0" applyNumberFormat="1" applyFont="1" applyFill="1" applyBorder="1"/>
    <xf numFmtId="4" fontId="33" fillId="9" borderId="97" xfId="0" applyNumberFormat="1" applyFont="1" applyFill="1" applyBorder="1"/>
    <xf numFmtId="4" fontId="33" fillId="9" borderId="37" xfId="0" applyNumberFormat="1" applyFont="1" applyFill="1" applyBorder="1"/>
    <xf numFmtId="4" fontId="26" fillId="9" borderId="37" xfId="0" applyNumberFormat="1" applyFont="1" applyFill="1" applyBorder="1"/>
    <xf numFmtId="4" fontId="26" fillId="15" borderId="37" xfId="0" applyNumberFormat="1" applyFont="1" applyFill="1" applyBorder="1"/>
    <xf numFmtId="4" fontId="26" fillId="9" borderId="41" xfId="0" applyNumberFormat="1" applyFont="1" applyFill="1" applyBorder="1"/>
    <xf numFmtId="4" fontId="26" fillId="15" borderId="41" xfId="0" applyNumberFormat="1" applyFont="1" applyFill="1" applyBorder="1"/>
    <xf numFmtId="0" fontId="39" fillId="0" borderId="30" xfId="0" applyFont="1" applyBorder="1" applyAlignment="1">
      <alignment horizontal="center"/>
    </xf>
    <xf numFmtId="0" fontId="0" fillId="0" borderId="30" xfId="0" applyBorder="1" applyAlignment="1">
      <alignment horizontal="center" wrapText="1"/>
    </xf>
    <xf numFmtId="4" fontId="66" fillId="0" borderId="94" xfId="0" applyNumberFormat="1" applyFont="1" applyBorder="1"/>
    <xf numFmtId="10" fontId="26" fillId="0" borderId="95" xfId="0" applyNumberFormat="1" applyFont="1" applyBorder="1"/>
    <xf numFmtId="0" fontId="33" fillId="0" borderId="5" xfId="0" applyFont="1" applyBorder="1"/>
    <xf numFmtId="0" fontId="33" fillId="47" borderId="0" xfId="0" applyFont="1" applyFill="1" applyBorder="1"/>
    <xf numFmtId="0" fontId="40" fillId="47" borderId="0" xfId="0" applyFont="1" applyFill="1" applyBorder="1" applyAlignment="1">
      <alignment horizontal="center"/>
    </xf>
    <xf numFmtId="4" fontId="22" fillId="0" borderId="0" xfId="0" applyNumberFormat="1" applyFont="1"/>
    <xf numFmtId="4" fontId="20" fillId="0" borderId="0" xfId="0" applyNumberFormat="1" applyFont="1" applyAlignment="1"/>
    <xf numFmtId="165" fontId="12" fillId="46" borderId="92" xfId="43" applyNumberFormat="1" applyFont="1" applyFill="1" applyBorder="1" applyAlignment="1">
      <alignment vertical="center"/>
    </xf>
    <xf numFmtId="165" fontId="62" fillId="0" borderId="0" xfId="0" applyNumberFormat="1" applyFont="1" applyAlignment="1">
      <alignment vertical="center"/>
    </xf>
    <xf numFmtId="0" fontId="22" fillId="15" borderId="78" xfId="0" applyFont="1" applyFill="1" applyBorder="1" applyAlignment="1">
      <alignment horizontal="center"/>
    </xf>
    <xf numFmtId="0" fontId="22" fillId="15" borderId="90" xfId="0" applyFont="1" applyFill="1" applyBorder="1" applyAlignment="1">
      <alignment horizontal="center"/>
    </xf>
    <xf numFmtId="0" fontId="21" fillId="11" borderId="102" xfId="0" applyFont="1" applyFill="1" applyBorder="1" applyAlignment="1">
      <alignment horizontal="center"/>
    </xf>
    <xf numFmtId="0" fontId="21" fillId="11" borderId="89" xfId="0" applyFont="1" applyFill="1" applyBorder="1" applyAlignment="1">
      <alignment horizontal="center"/>
    </xf>
    <xf numFmtId="0" fontId="21" fillId="11" borderId="103" xfId="0" applyFont="1" applyFill="1" applyBorder="1" applyAlignment="1">
      <alignment horizontal="center"/>
    </xf>
    <xf numFmtId="0" fontId="21" fillId="11" borderId="10" xfId="0" applyFont="1" applyFill="1" applyBorder="1" applyAlignment="1">
      <alignment horizontal="center"/>
    </xf>
    <xf numFmtId="0" fontId="21" fillId="11" borderId="0" xfId="0" applyFont="1" applyFill="1" applyBorder="1" applyAlignment="1">
      <alignment horizontal="center"/>
    </xf>
    <xf numFmtId="0" fontId="21" fillId="11" borderId="11" xfId="0" applyFont="1" applyFill="1" applyBorder="1" applyAlignment="1">
      <alignment horizontal="center"/>
    </xf>
    <xf numFmtId="0" fontId="12" fillId="13" borderId="30" xfId="0" applyFont="1" applyFill="1" applyBorder="1" applyAlignment="1">
      <alignment horizontal="center" vertical="center" wrapText="1"/>
    </xf>
    <xf numFmtId="0" fontId="15" fillId="12" borderId="29" xfId="0" applyFont="1" applyFill="1" applyBorder="1" applyAlignment="1"/>
    <xf numFmtId="0" fontId="3" fillId="9" borderId="45" xfId="0" applyFont="1" applyFill="1" applyBorder="1" applyAlignment="1">
      <alignment horizontal="center" vertical="center" wrapText="1"/>
    </xf>
    <xf numFmtId="0" fontId="21" fillId="9" borderId="47" xfId="0" applyFont="1" applyFill="1" applyBorder="1" applyAlignment="1">
      <alignment horizontal="center" vertical="center"/>
    </xf>
    <xf numFmtId="0" fontId="21" fillId="9" borderId="104" xfId="0" applyFont="1" applyFill="1" applyBorder="1" applyAlignment="1">
      <alignment horizontal="center" vertical="center"/>
    </xf>
    <xf numFmtId="0" fontId="21" fillId="9" borderId="14" xfId="0" applyFont="1" applyFill="1" applyBorder="1" applyAlignment="1">
      <alignment horizontal="center" vertical="center"/>
    </xf>
    <xf numFmtId="0" fontId="21" fillId="9" borderId="0" xfId="0" applyFont="1" applyFill="1" applyBorder="1" applyAlignment="1">
      <alignment horizontal="center" vertical="center"/>
    </xf>
    <xf numFmtId="0" fontId="21" fillId="9" borderId="15" xfId="0" applyFont="1" applyFill="1" applyBorder="1" applyAlignment="1">
      <alignment horizontal="center" vertical="center"/>
    </xf>
    <xf numFmtId="0" fontId="15" fillId="12" borderId="29" xfId="0" applyFont="1" applyFill="1" applyBorder="1" applyAlignment="1">
      <alignment horizontal="center" wrapText="1"/>
    </xf>
    <xf numFmtId="0" fontId="12" fillId="13" borderId="29" xfId="0" applyFont="1" applyFill="1" applyBorder="1" applyAlignment="1">
      <alignment horizontal="center" vertical="center" wrapText="1"/>
    </xf>
    <xf numFmtId="0" fontId="15" fillId="12" borderId="84" xfId="0" applyFont="1" applyFill="1" applyBorder="1" applyAlignment="1">
      <alignment horizontal="center" wrapText="1"/>
    </xf>
    <xf numFmtId="0" fontId="12" fillId="13" borderId="30" xfId="0" applyFont="1" applyFill="1" applyBorder="1" applyAlignment="1">
      <alignment horizontal="left" vertical="center" wrapText="1"/>
    </xf>
    <xf numFmtId="0" fontId="15" fillId="12" borderId="29" xfId="0" applyFont="1" applyFill="1" applyBorder="1" applyAlignment="1">
      <alignment wrapText="1"/>
    </xf>
    <xf numFmtId="0" fontId="15" fillId="12" borderId="30" xfId="0" applyFont="1" applyFill="1" applyBorder="1" applyAlignment="1">
      <alignment horizontal="center" vertical="center" wrapText="1"/>
    </xf>
    <xf numFmtId="0" fontId="3" fillId="14" borderId="102" xfId="0" applyFont="1" applyFill="1" applyBorder="1" applyAlignment="1">
      <alignment horizontal="center" vertical="center" wrapText="1"/>
    </xf>
    <xf numFmtId="0" fontId="21" fillId="14" borderId="89" xfId="0" applyFont="1" applyFill="1" applyBorder="1" applyAlignment="1">
      <alignment horizontal="center" vertical="center"/>
    </xf>
    <xf numFmtId="0" fontId="0" fillId="14" borderId="89" xfId="0" applyFill="1" applyBorder="1" applyAlignment="1"/>
    <xf numFmtId="0" fontId="0" fillId="14" borderId="103" xfId="0" applyFill="1" applyBorder="1" applyAlignment="1"/>
    <xf numFmtId="0" fontId="21" fillId="14" borderId="10" xfId="0" applyFont="1" applyFill="1" applyBorder="1" applyAlignment="1">
      <alignment horizontal="center" vertical="center"/>
    </xf>
    <xf numFmtId="0" fontId="21" fillId="14" borderId="0" xfId="0" applyFont="1" applyFill="1" applyBorder="1" applyAlignment="1">
      <alignment horizontal="center" vertical="center"/>
    </xf>
    <xf numFmtId="0" fontId="0" fillId="14" borderId="0" xfId="0" applyFill="1" applyBorder="1" applyAlignment="1"/>
    <xf numFmtId="0" fontId="0" fillId="14" borderId="11" xfId="0" applyFill="1" applyBorder="1" applyAlignment="1"/>
    <xf numFmtId="0" fontId="0" fillId="14" borderId="12" xfId="0" applyFill="1" applyBorder="1" applyAlignment="1"/>
    <xf numFmtId="0" fontId="0" fillId="14" borderId="39" xfId="0" applyFill="1" applyBorder="1" applyAlignment="1"/>
    <xf numFmtId="0" fontId="0" fillId="14" borderId="13" xfId="0" applyFill="1" applyBorder="1" applyAlignment="1"/>
    <xf numFmtId="0" fontId="0" fillId="0" borderId="30" xfId="0" applyBorder="1" applyAlignment="1">
      <alignment horizontal="center"/>
    </xf>
    <xf numFmtId="4" fontId="17" fillId="9" borderId="17" xfId="0" applyNumberFormat="1" applyFont="1" applyFill="1" applyBorder="1" applyAlignment="1">
      <alignment horizontal="left"/>
    </xf>
    <xf numFmtId="0" fontId="0" fillId="0" borderId="17" xfId="0" applyBorder="1" applyAlignment="1"/>
    <xf numFmtId="17" fontId="63" fillId="0" borderId="39" xfId="0" applyNumberFormat="1" applyFont="1" applyBorder="1" applyAlignment="1">
      <alignment horizontal="left" vertical="center"/>
    </xf>
    <xf numFmtId="0" fontId="63" fillId="0" borderId="39" xfId="0" applyFont="1" applyBorder="1" applyAlignment="1">
      <alignment horizontal="left" vertical="center"/>
    </xf>
    <xf numFmtId="0" fontId="61" fillId="0" borderId="102" xfId="0" applyFont="1" applyBorder="1" applyAlignment="1">
      <alignment horizontal="center" vertical="center"/>
    </xf>
    <xf numFmtId="0" fontId="61" fillId="0" borderId="89" xfId="0" applyFont="1" applyBorder="1" applyAlignment="1">
      <alignment horizontal="center" vertical="center"/>
    </xf>
    <xf numFmtId="0" fontId="61" fillId="0" borderId="103" xfId="0" applyFont="1" applyBorder="1" applyAlignment="1">
      <alignment horizontal="center" vertical="center"/>
    </xf>
    <xf numFmtId="0" fontId="61" fillId="0" borderId="10" xfId="0" applyFont="1" applyBorder="1" applyAlignment="1">
      <alignment horizontal="center" vertical="center"/>
    </xf>
    <xf numFmtId="0" fontId="61" fillId="0" borderId="0" xfId="0" applyFont="1" applyBorder="1" applyAlignment="1">
      <alignment horizontal="center" vertical="center"/>
    </xf>
    <xf numFmtId="0" fontId="61" fillId="0" borderId="11" xfId="0" applyFont="1" applyBorder="1" applyAlignment="1">
      <alignment horizontal="center" vertical="center"/>
    </xf>
    <xf numFmtId="0" fontId="63" fillId="0" borderId="89" xfId="0" applyFont="1" applyBorder="1" applyAlignment="1">
      <alignment horizontal="left" vertical="center"/>
    </xf>
    <xf numFmtId="0" fontId="63" fillId="0" borderId="0" xfId="0" applyFont="1" applyBorder="1" applyAlignment="1">
      <alignment horizontal="left" vertical="center"/>
    </xf>
    <xf numFmtId="0" fontId="63" fillId="46" borderId="29" xfId="0" applyFont="1" applyFill="1" applyBorder="1" applyAlignment="1">
      <alignment horizontal="center" vertical="center" wrapText="1"/>
    </xf>
    <xf numFmtId="0" fontId="63" fillId="46" borderId="92" xfId="0" applyFont="1" applyFill="1" applyBorder="1" applyAlignment="1">
      <alignment horizontal="center" vertical="center" wrapText="1"/>
    </xf>
    <xf numFmtId="165" fontId="63" fillId="46" borderId="29" xfId="43" applyFont="1" applyFill="1" applyBorder="1" applyAlignment="1">
      <alignment horizontal="center" vertical="center" wrapText="1"/>
    </xf>
    <xf numFmtId="165" fontId="63" fillId="46" borderId="92" xfId="43" applyFont="1" applyFill="1" applyBorder="1" applyAlignment="1">
      <alignment horizontal="center" vertical="center" wrapText="1"/>
    </xf>
    <xf numFmtId="0" fontId="63" fillId="46" borderId="30" xfId="0" applyFont="1" applyFill="1" applyBorder="1" applyAlignment="1">
      <alignment horizontal="center" vertical="center" wrapText="1"/>
    </xf>
    <xf numFmtId="0" fontId="33" fillId="20" borderId="85" xfId="0" applyFont="1" applyFill="1" applyBorder="1" applyAlignment="1">
      <alignment horizontal="center"/>
    </xf>
    <xf numFmtId="0" fontId="0" fillId="20" borderId="86" xfId="0" applyFill="1" applyBorder="1" applyAlignment="1">
      <alignment horizontal="center"/>
    </xf>
    <xf numFmtId="0" fontId="0" fillId="20" borderId="83" xfId="0" applyFill="1" applyBorder="1" applyAlignment="1">
      <alignment horizontal="center"/>
    </xf>
    <xf numFmtId="0" fontId="33" fillId="0" borderId="3" xfId="0" applyFont="1" applyBorder="1" applyAlignment="1">
      <alignment horizontal="left" wrapText="1"/>
    </xf>
    <xf numFmtId="0" fontId="0" fillId="0" borderId="1" xfId="0" applyBorder="1" applyAlignment="1">
      <alignment horizontal="left" wrapText="1"/>
    </xf>
    <xf numFmtId="0" fontId="0" fillId="0" borderId="5" xfId="0" applyBorder="1" applyAlignment="1">
      <alignment horizontal="left" wrapText="1"/>
    </xf>
    <xf numFmtId="0" fontId="39" fillId="12" borderId="85" xfId="0" applyFont="1" applyFill="1" applyBorder="1" applyAlignment="1">
      <alignment horizontal="center" vertical="center" wrapText="1"/>
    </xf>
    <xf numFmtId="0" fontId="26" fillId="11" borderId="30" xfId="0" applyFont="1" applyFill="1" applyBorder="1" applyAlignment="1">
      <alignment horizontal="center" vertical="center" wrapText="1"/>
    </xf>
    <xf numFmtId="0" fontId="0" fillId="0" borderId="30" xfId="0" applyBorder="1" applyAlignment="1">
      <alignment horizontal="center" vertical="center" wrapText="1"/>
    </xf>
    <xf numFmtId="0" fontId="26" fillId="15" borderId="85" xfId="0" applyFont="1" applyFill="1" applyBorder="1" applyAlignment="1">
      <alignment horizontal="center"/>
    </xf>
    <xf numFmtId="0" fontId="0" fillId="0" borderId="86" xfId="0" applyBorder="1" applyAlignment="1">
      <alignment horizontal="center"/>
    </xf>
    <xf numFmtId="0" fontId="0" fillId="0" borderId="83" xfId="0" applyBorder="1" applyAlignment="1">
      <alignment horizontal="center"/>
    </xf>
    <xf numFmtId="0" fontId="33" fillId="11" borderId="24" xfId="0" applyFont="1" applyFill="1" applyBorder="1" applyAlignment="1">
      <alignment horizontal="center" vertical="center" wrapText="1"/>
    </xf>
    <xf numFmtId="0" fontId="0" fillId="11" borderId="4" xfId="0" applyFill="1" applyBorder="1" applyAlignment="1">
      <alignment horizontal="center" vertical="center"/>
    </xf>
    <xf numFmtId="0" fontId="0" fillId="11" borderId="26" xfId="0" applyFill="1" applyBorder="1" applyAlignment="1">
      <alignment horizontal="center" vertical="center"/>
    </xf>
    <xf numFmtId="0" fontId="0" fillId="11" borderId="25" xfId="0" applyFill="1" applyBorder="1" applyAlignment="1">
      <alignment horizontal="center" vertical="center"/>
    </xf>
    <xf numFmtId="0" fontId="33" fillId="20" borderId="23" xfId="0" applyFont="1" applyFill="1" applyBorder="1" applyAlignment="1">
      <alignment horizontal="center" vertical="center" wrapText="1"/>
    </xf>
    <xf numFmtId="0" fontId="0" fillId="0" borderId="6" xfId="0" applyBorder="1" applyAlignment="1">
      <alignment horizontal="center" vertical="center"/>
    </xf>
    <xf numFmtId="0" fontId="0" fillId="0" borderId="20" xfId="0" applyBorder="1" applyAlignment="1">
      <alignment horizontal="center" vertical="center"/>
    </xf>
    <xf numFmtId="0" fontId="33" fillId="14" borderId="85" xfId="0" applyFont="1" applyFill="1" applyBorder="1" applyAlignment="1">
      <alignment horizontal="center"/>
    </xf>
    <xf numFmtId="0" fontId="33" fillId="14" borderId="86" xfId="0" applyFont="1" applyFill="1" applyBorder="1" applyAlignment="1">
      <alignment horizontal="center"/>
    </xf>
    <xf numFmtId="0" fontId="33" fillId="14" borderId="83" xfId="0" applyFont="1" applyFill="1" applyBorder="1" applyAlignment="1">
      <alignment horizontal="center"/>
    </xf>
    <xf numFmtId="0" fontId="33" fillId="15" borderId="85" xfId="0" applyFont="1" applyFill="1" applyBorder="1" applyAlignment="1">
      <alignment horizontal="center"/>
    </xf>
    <xf numFmtId="0" fontId="33" fillId="15" borderId="86" xfId="0" applyFont="1" applyFill="1" applyBorder="1" applyAlignment="1">
      <alignment horizontal="center"/>
    </xf>
    <xf numFmtId="0" fontId="33" fillId="15" borderId="83" xfId="0" applyFont="1" applyFill="1" applyBorder="1" applyAlignment="1">
      <alignment horizontal="center"/>
    </xf>
    <xf numFmtId="0" fontId="33" fillId="19" borderId="35" xfId="0" applyFont="1" applyFill="1" applyBorder="1" applyAlignment="1">
      <alignment horizontal="center" vertical="center" wrapText="1"/>
    </xf>
    <xf numFmtId="0" fontId="0" fillId="19" borderId="38" xfId="0" applyFill="1" applyBorder="1" applyAlignment="1">
      <alignment horizontal="center" vertical="center"/>
    </xf>
    <xf numFmtId="0" fontId="33" fillId="11" borderId="29" xfId="0" applyFont="1" applyFill="1" applyBorder="1" applyAlignment="1">
      <alignment horizontal="center" vertical="center" wrapText="1"/>
    </xf>
    <xf numFmtId="0" fontId="33" fillId="11" borderId="84" xfId="0" applyFont="1" applyFill="1" applyBorder="1" applyAlignment="1">
      <alignment horizontal="center" vertical="center" wrapText="1"/>
    </xf>
    <xf numFmtId="0" fontId="0" fillId="11" borderId="84" xfId="0" applyFill="1" applyBorder="1" applyAlignment="1">
      <alignment horizontal="center" vertical="center"/>
    </xf>
    <xf numFmtId="0" fontId="0" fillId="11" borderId="92" xfId="0" applyFill="1" applyBorder="1" applyAlignment="1">
      <alignment horizontal="center" vertical="center"/>
    </xf>
    <xf numFmtId="0" fontId="33" fillId="19" borderId="23" xfId="0" applyFont="1" applyFill="1" applyBorder="1" applyAlignment="1">
      <alignment horizontal="center" vertical="center" wrapText="1"/>
    </xf>
    <xf numFmtId="0" fontId="0" fillId="19" borderId="20" xfId="0" applyFill="1" applyBorder="1" applyAlignment="1">
      <alignment horizontal="center" vertical="center"/>
    </xf>
    <xf numFmtId="0" fontId="0" fillId="11" borderId="84" xfId="0" applyFill="1" applyBorder="1" applyAlignment="1">
      <alignment horizontal="center" vertical="center" wrapText="1"/>
    </xf>
    <xf numFmtId="0" fontId="0" fillId="11" borderId="92" xfId="0" applyFill="1" applyBorder="1" applyAlignment="1">
      <alignment horizontal="center" vertical="center" wrapText="1"/>
    </xf>
    <xf numFmtId="0" fontId="33" fillId="11" borderId="85" xfId="0" applyFont="1" applyFill="1" applyBorder="1" applyAlignment="1">
      <alignment horizontal="center"/>
    </xf>
    <xf numFmtId="0" fontId="0" fillId="11" borderId="86" xfId="0" applyFill="1" applyBorder="1" applyAlignment="1">
      <alignment horizontal="center"/>
    </xf>
    <xf numFmtId="0" fontId="0" fillId="11" borderId="83" xfId="0" applyFill="1" applyBorder="1" applyAlignment="1">
      <alignment horizontal="center"/>
    </xf>
    <xf numFmtId="0" fontId="33" fillId="0" borderId="85" xfId="0" applyFont="1" applyBorder="1" applyAlignment="1">
      <alignment horizontal="center"/>
    </xf>
    <xf numFmtId="0" fontId="33" fillId="12" borderId="85" xfId="0" applyFont="1" applyFill="1" applyBorder="1" applyAlignment="1">
      <alignment horizontal="center" vertical="center" wrapText="1"/>
    </xf>
    <xf numFmtId="0" fontId="40" fillId="12" borderId="85" xfId="0" applyFont="1" applyFill="1" applyBorder="1" applyAlignment="1">
      <alignment horizontal="center"/>
    </xf>
    <xf numFmtId="0" fontId="23" fillId="16" borderId="85" xfId="0" applyFont="1" applyFill="1" applyBorder="1" applyAlignment="1">
      <alignment horizontal="center"/>
    </xf>
    <xf numFmtId="0" fontId="65" fillId="0" borderId="86" xfId="0" applyFont="1" applyBorder="1" applyAlignment="1"/>
    <xf numFmtId="0" fontId="65" fillId="0" borderId="83" xfId="0" applyFont="1" applyBorder="1" applyAlignment="1"/>
    <xf numFmtId="0" fontId="33" fillId="0" borderId="0" xfId="0" applyFont="1" applyBorder="1" applyAlignment="1">
      <alignment horizontal="center"/>
    </xf>
    <xf numFmtId="0" fontId="33" fillId="20" borderId="102" xfId="0" applyFont="1" applyFill="1" applyBorder="1" applyAlignment="1">
      <alignment horizontal="center" vertical="center" wrapText="1"/>
    </xf>
    <xf numFmtId="0" fontId="0" fillId="0" borderId="10" xfId="0" applyBorder="1" applyAlignment="1">
      <alignment horizontal="center" vertical="center"/>
    </xf>
    <xf numFmtId="0" fontId="0" fillId="0" borderId="12" xfId="0" applyBorder="1" applyAlignment="1">
      <alignment horizontal="center" vertical="center"/>
    </xf>
    <xf numFmtId="0" fontId="33" fillId="20" borderId="55" xfId="0" applyFont="1" applyFill="1" applyBorder="1" applyAlignment="1">
      <alignment horizontal="center" vertical="center" wrapText="1"/>
    </xf>
    <xf numFmtId="0" fontId="0" fillId="20" borderId="20" xfId="0" applyFill="1" applyBorder="1" applyAlignment="1">
      <alignment horizontal="center" vertical="center"/>
    </xf>
  </cellXfs>
  <cellStyles count="46">
    <cellStyle name="20% - Ênfase1" xfId="1" builtinId="30" customBuiltin="1"/>
    <cellStyle name="20% - Ênfase2" xfId="2" builtinId="34" customBuiltin="1"/>
    <cellStyle name="20% - Ênfase3" xfId="3" builtinId="38" customBuiltin="1"/>
    <cellStyle name="20% - Ênfase4" xfId="4" builtinId="42" customBuiltin="1"/>
    <cellStyle name="20% - Ênfase5" xfId="5" builtinId="46" customBuiltin="1"/>
    <cellStyle name="20% - Ênfase6" xfId="6" builtinId="50" customBuiltin="1"/>
    <cellStyle name="40% - Ênfase1" xfId="7" builtinId="31" customBuiltin="1"/>
    <cellStyle name="40% - Ênfase2" xfId="8" builtinId="35" customBuiltin="1"/>
    <cellStyle name="40% - Ênfase3" xfId="9" builtinId="39" customBuiltin="1"/>
    <cellStyle name="40% - Ênfase4" xfId="10" builtinId="43" customBuiltin="1"/>
    <cellStyle name="40% - Ênfase5" xfId="11" builtinId="47" customBuiltin="1"/>
    <cellStyle name="40% - Ênfase6" xfId="12" builtinId="51" customBuiltin="1"/>
    <cellStyle name="60% - Ênfase1" xfId="13" builtinId="32" customBuiltin="1"/>
    <cellStyle name="60% - Ênfase2" xfId="14" builtinId="36" customBuiltin="1"/>
    <cellStyle name="60% - Ênfase3" xfId="15" builtinId="40" customBuiltin="1"/>
    <cellStyle name="60% - Ênfase4" xfId="16" builtinId="44" customBuiltin="1"/>
    <cellStyle name="60% - Ênfase5" xfId="17" builtinId="48" customBuiltin="1"/>
    <cellStyle name="60% - Ênfase6" xfId="18" builtinId="52" customBuiltin="1"/>
    <cellStyle name="Bom" xfId="19" builtinId="26" customBuiltin="1"/>
    <cellStyle name="Cálculo" xfId="20" builtinId="22" customBuiltin="1"/>
    <cellStyle name="Célula de Verificação" xfId="21" builtinId="23" customBuiltin="1"/>
    <cellStyle name="Célula Vinculada" xfId="22" builtinId="24" customBuiltin="1"/>
    <cellStyle name="Ênfase1" xfId="23" builtinId="29" customBuiltin="1"/>
    <cellStyle name="Ênfase2" xfId="24" builtinId="33" customBuiltin="1"/>
    <cellStyle name="Ênfase3" xfId="25" builtinId="37" customBuiltin="1"/>
    <cellStyle name="Ênfase4" xfId="26" builtinId="41" customBuiltin="1"/>
    <cellStyle name="Ênfase5" xfId="27" builtinId="45" customBuiltin="1"/>
    <cellStyle name="Ênfase6" xfId="28" builtinId="49" customBuiltin="1"/>
    <cellStyle name="Entrada" xfId="29" builtinId="20" customBuiltin="1"/>
    <cellStyle name="Incorreto" xfId="30" builtinId="27" customBuiltin="1"/>
    <cellStyle name="Moeda" xfId="31" builtinId="4"/>
    <cellStyle name="Neutra" xfId="32" builtinId="28" customBuiltin="1"/>
    <cellStyle name="Normal" xfId="0" builtinId="0"/>
    <cellStyle name="Nota" xfId="33" builtinId="10" customBuiltin="1"/>
    <cellStyle name="Porcentagem" xfId="45" builtinId="5"/>
    <cellStyle name="Saída" xfId="34" builtinId="21" customBuiltin="1"/>
    <cellStyle name="Texto de Aviso" xfId="35" builtinId="11" customBuiltin="1"/>
    <cellStyle name="Texto Explicativo" xfId="36" builtinId="53" customBuiltin="1"/>
    <cellStyle name="Título" xfId="37" builtinId="15" customBuiltin="1"/>
    <cellStyle name="Título 1" xfId="38" builtinId="16" customBuiltin="1"/>
    <cellStyle name="Título 2" xfId="39" builtinId="17" customBuiltin="1"/>
    <cellStyle name="Título 3" xfId="40" builtinId="18" customBuiltin="1"/>
    <cellStyle name="Título 4" xfId="41" builtinId="19" customBuiltin="1"/>
    <cellStyle name="Total" xfId="42" builtinId="25" customBuiltin="1"/>
    <cellStyle name="Vírgula" xfId="43" builtinId="3"/>
    <cellStyle name="Vírgula 2" xfId="44"/>
  </cellStyles>
  <dxfs count="37">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51"/>
          <bgColor indexed="52"/>
        </patternFill>
      </fill>
    </dxf>
    <dxf>
      <fill>
        <patternFill patternType="solid">
          <fgColor indexed="51"/>
          <bgColor indexed="52"/>
        </patternFill>
      </fill>
    </dxf>
    <dxf>
      <fill>
        <patternFill patternType="solid">
          <fgColor indexed="51"/>
          <bgColor indexed="5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bgColor indexed="47"/>
        </patternFill>
      </fill>
    </dxf>
    <dxf>
      <fill>
        <patternFill patternType="solid">
          <fgColor indexed="51"/>
          <bgColor indexed="52"/>
        </patternFill>
      </fill>
    </dxf>
    <dxf>
      <fill>
        <patternFill patternType="solid">
          <fgColor indexed="31"/>
          <bgColor indexed="22"/>
        </patternFill>
      </fill>
    </dxf>
    <dxf>
      <fill>
        <patternFill>
          <bgColor indexed="47"/>
        </patternFill>
      </fill>
    </dxf>
    <dxf>
      <fill>
        <patternFill patternType="solid">
          <fgColor indexed="51"/>
          <bgColor indexed="52"/>
        </patternFill>
      </fill>
    </dxf>
    <dxf>
      <fill>
        <patternFill patternType="solid">
          <fgColor indexed="31"/>
          <bgColor indexed="22"/>
        </patternFill>
      </fill>
    </dxf>
    <dxf>
      <fill>
        <patternFill>
          <bgColor indexed="47"/>
        </patternFill>
      </fill>
    </dxf>
    <dxf>
      <fill>
        <patternFill patternType="solid">
          <fgColor indexed="51"/>
          <bgColor indexed="52"/>
        </patternFill>
      </fill>
    </dxf>
    <dxf>
      <fill>
        <patternFill patternType="solid">
          <fgColor indexed="31"/>
          <bgColor indexed="22"/>
        </patternFill>
      </fill>
    </dxf>
  </dxfs>
  <tableStyles count="0" defaultTableStyle="TableStyleMedium2" defaultPivotStyle="PivotStyleLight16"/>
  <colors>
    <mruColors>
      <color rgb="FFCCC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5" Type="http://schemas.openxmlformats.org/officeDocument/2006/relationships/printerSettings" Target="../printerSettings/printerSettings15.bin"/><Relationship Id="rId4" Type="http://schemas.openxmlformats.org/officeDocument/2006/relationships/printerSettings" Target="../printerSettings/printerSettings1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5" Type="http://schemas.openxmlformats.org/officeDocument/2006/relationships/printerSettings" Target="../printerSettings/printerSettings21.bin"/><Relationship Id="rId4" Type="http://schemas.openxmlformats.org/officeDocument/2006/relationships/printerSettings" Target="../printerSettings/printerSettings2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9"/>
  <sheetViews>
    <sheetView tabSelected="1" topLeftCell="A10" zoomScaleNormal="100" workbookViewId="0">
      <selection activeCell="H21" sqref="H21"/>
    </sheetView>
  </sheetViews>
  <sheetFormatPr defaultRowHeight="18.75" x14ac:dyDescent="0.3"/>
  <cols>
    <col min="1" max="1" width="13.5703125" customWidth="1"/>
    <col min="2" max="2" width="49.7109375" customWidth="1"/>
    <col min="3" max="3" width="19.140625" style="38" customWidth="1"/>
    <col min="4" max="4" width="12.5703125" style="41" customWidth="1"/>
    <col min="5" max="5" width="20" customWidth="1"/>
    <col min="6" max="6" width="10.140625" bestFit="1" customWidth="1"/>
  </cols>
  <sheetData>
    <row r="1" spans="1:6" s="39" customFormat="1" x14ac:dyDescent="0.3">
      <c r="A1" s="860" t="s">
        <v>328</v>
      </c>
      <c r="B1" s="861"/>
      <c r="C1" s="861"/>
      <c r="D1" s="862"/>
    </row>
    <row r="2" spans="1:6" s="39" customFormat="1" x14ac:dyDescent="0.3">
      <c r="A2" s="863" t="s">
        <v>136</v>
      </c>
      <c r="B2" s="864"/>
      <c r="C2" s="864"/>
      <c r="D2" s="865"/>
    </row>
    <row r="3" spans="1:6" s="39" customFormat="1" x14ac:dyDescent="0.3">
      <c r="A3" s="42"/>
      <c r="B3" s="864"/>
      <c r="C3" s="864"/>
      <c r="D3" s="865"/>
    </row>
    <row r="4" spans="1:6" s="39" customFormat="1" x14ac:dyDescent="0.3">
      <c r="A4" s="863" t="s">
        <v>329</v>
      </c>
      <c r="B4" s="864"/>
      <c r="C4" s="864"/>
      <c r="D4" s="865"/>
    </row>
    <row r="5" spans="1:6" x14ac:dyDescent="0.3">
      <c r="A5" s="863"/>
      <c r="B5" s="864"/>
      <c r="C5" s="864"/>
      <c r="D5" s="865"/>
    </row>
    <row r="6" spans="1:6" x14ac:dyDescent="0.3">
      <c r="A6" s="43" t="str">
        <f>ANALÍTICO!B6</f>
        <v>OBRA:</v>
      </c>
      <c r="B6" s="44" t="s">
        <v>452</v>
      </c>
      <c r="C6" s="48"/>
      <c r="D6" s="45"/>
    </row>
    <row r="7" spans="1:6" x14ac:dyDescent="0.3">
      <c r="A7" s="43" t="str">
        <f>ANALÍTICO!B7</f>
        <v>ENDEREÇO:</v>
      </c>
      <c r="B7" s="44" t="s">
        <v>453</v>
      </c>
      <c r="C7" s="48"/>
      <c r="D7" s="45"/>
    </row>
    <row r="8" spans="1:6" x14ac:dyDescent="0.3">
      <c r="A8" s="43" t="str">
        <f>ANALÍTICO!B8</f>
        <v>LOCAL:</v>
      </c>
      <c r="B8" s="44" t="s">
        <v>454</v>
      </c>
      <c r="C8" s="48"/>
      <c r="D8" s="45"/>
    </row>
    <row r="9" spans="1:6" ht="15" x14ac:dyDescent="0.25">
      <c r="A9" s="46" t="str">
        <f>ANALÍTICO!B9</f>
        <v>ÁREA(m²):</v>
      </c>
      <c r="B9" s="342">
        <v>2155.41</v>
      </c>
      <c r="C9" s="208">
        <v>24.56</v>
      </c>
      <c r="D9" s="47"/>
    </row>
    <row r="10" spans="1:6" x14ac:dyDescent="0.3">
      <c r="B10" s="11"/>
    </row>
    <row r="11" spans="1:6" ht="37.5" x14ac:dyDescent="0.3">
      <c r="A11" s="440" t="s">
        <v>268</v>
      </c>
      <c r="B11" s="445" t="s">
        <v>330</v>
      </c>
      <c r="C11" s="448" t="s">
        <v>331</v>
      </c>
      <c r="D11" s="451" t="s">
        <v>334</v>
      </c>
    </row>
    <row r="12" spans="1:6" ht="15" x14ac:dyDescent="0.25">
      <c r="A12" s="441">
        <f>ANALÍTICO!C14</f>
        <v>1</v>
      </c>
      <c r="B12" s="446" t="str">
        <f>ANALÍTICO!D14</f>
        <v>ADMINISTRAÇÃO DE OBRA E SERVIÇOS INICIAIS</v>
      </c>
      <c r="C12" s="449">
        <f>ANALÍTICO!O14</f>
        <v>77387.210000000006</v>
      </c>
      <c r="D12" s="452">
        <f t="shared" ref="D12:D32" si="0">C12/$C$33</f>
        <v>5.4196868041828425E-2</v>
      </c>
      <c r="E12" s="79"/>
      <c r="F12" s="79"/>
    </row>
    <row r="13" spans="1:6" ht="15" x14ac:dyDescent="0.25">
      <c r="A13" s="442">
        <f>ANALÍTICO!C22</f>
        <v>2</v>
      </c>
      <c r="B13" s="446" t="str">
        <f>ANALÍTICO!D22</f>
        <v>INSTALAÇÃO DO CANTEIRO DE OBRAS</v>
      </c>
      <c r="C13" s="450">
        <f>ANALÍTICO!O22</f>
        <v>11951.53</v>
      </c>
      <c r="D13" s="452">
        <f t="shared" si="0"/>
        <v>8.3700587514132334E-3</v>
      </c>
      <c r="E13" s="79"/>
      <c r="F13" s="79"/>
    </row>
    <row r="14" spans="1:6" ht="15" x14ac:dyDescent="0.25">
      <c r="A14" s="441">
        <f>ANALÍTICO!C28</f>
        <v>3</v>
      </c>
      <c r="B14" s="446" t="str">
        <f>ANALÍTICO!D28</f>
        <v>DEMOLIÇÕES</v>
      </c>
      <c r="C14" s="450">
        <f>ANALÍTICO!O28</f>
        <v>63869.80999999999</v>
      </c>
      <c r="D14" s="452">
        <f t="shared" si="0"/>
        <v>4.4730177821718252E-2</v>
      </c>
      <c r="E14" s="79"/>
      <c r="F14" s="79"/>
    </row>
    <row r="15" spans="1:6" ht="15" x14ac:dyDescent="0.25">
      <c r="A15" s="441">
        <f>ANALÍTICO!C121</f>
        <v>4</v>
      </c>
      <c r="B15" s="446" t="str">
        <f>ANALÍTICO!D121</f>
        <v>SUPRA-ESTRUTURA</v>
      </c>
      <c r="C15" s="450">
        <f>ANALÍTICO!O121</f>
        <v>7707.8000000000011</v>
      </c>
      <c r="D15" s="452">
        <f t="shared" si="0"/>
        <v>5.3980317870718575E-3</v>
      </c>
      <c r="E15" s="79"/>
      <c r="F15" s="79"/>
    </row>
    <row r="16" spans="1:6" ht="15" x14ac:dyDescent="0.25">
      <c r="A16" s="441">
        <f>ANALÍTICO!C170</f>
        <v>5</v>
      </c>
      <c r="B16" s="446" t="str">
        <f>ANALÍTICO!D170</f>
        <v>PAREDES E PAINÉIS</v>
      </c>
      <c r="C16" s="450">
        <f>ANALÍTICO!O170</f>
        <v>96615.25</v>
      </c>
      <c r="D16" s="452">
        <f t="shared" si="0"/>
        <v>6.7662911675950885E-2</v>
      </c>
      <c r="E16" s="79"/>
      <c r="F16" s="79"/>
    </row>
    <row r="17" spans="1:6" ht="15" x14ac:dyDescent="0.25">
      <c r="A17" s="441">
        <f>ANALÍTICO!C251</f>
        <v>6</v>
      </c>
      <c r="B17" s="446" t="str">
        <f>ANALÍTICO!D251</f>
        <v>ESQUADRIAS</v>
      </c>
      <c r="C17" s="450">
        <f>ANALÍTICO!O251</f>
        <v>132357.4</v>
      </c>
      <c r="D17" s="452">
        <f t="shared" si="0"/>
        <v>9.2694342413423364E-2</v>
      </c>
      <c r="E17" s="79"/>
      <c r="F17" s="79"/>
    </row>
    <row r="18" spans="1:6" ht="15" x14ac:dyDescent="0.25">
      <c r="A18" s="441">
        <f>ANALÍTICO!C486</f>
        <v>7</v>
      </c>
      <c r="B18" s="446" t="str">
        <f>ANALÍTICO!D486</f>
        <v>COBERTURA</v>
      </c>
      <c r="C18" s="450">
        <f>ANALÍTICO!O486</f>
        <v>26099.74</v>
      </c>
      <c r="D18" s="452">
        <f t="shared" si="0"/>
        <v>1.8278526447794551E-2</v>
      </c>
      <c r="E18" s="79"/>
      <c r="F18" s="79"/>
    </row>
    <row r="19" spans="1:6" ht="15" x14ac:dyDescent="0.25">
      <c r="A19" s="441">
        <f>ANALÍTICO!C516</f>
        <v>8</v>
      </c>
      <c r="B19" s="446" t="str">
        <f>ANALÍTICO!D516</f>
        <v>IMPERMEABILIZAÇÃO</v>
      </c>
      <c r="C19" s="450">
        <f>ANALÍTICO!O516</f>
        <v>18288.919999999998</v>
      </c>
      <c r="D19" s="452">
        <f t="shared" si="0"/>
        <v>1.2808346287035758E-2</v>
      </c>
      <c r="E19" s="79"/>
      <c r="F19" s="79"/>
    </row>
    <row r="20" spans="1:6" ht="15" x14ac:dyDescent="0.25">
      <c r="A20" s="441">
        <f>ANALÍTICO!C530</f>
        <v>9</v>
      </c>
      <c r="B20" s="446" t="str">
        <f>ANALÍTICO!D530</f>
        <v>FORRO</v>
      </c>
      <c r="C20" s="450">
        <f>ANALÍTICO!O530</f>
        <v>80339.95</v>
      </c>
      <c r="D20" s="452">
        <f t="shared" si="0"/>
        <v>5.6264771254023668E-2</v>
      </c>
      <c r="E20" s="79"/>
      <c r="F20" s="79"/>
    </row>
    <row r="21" spans="1:6" ht="15" x14ac:dyDescent="0.25">
      <c r="A21" s="441">
        <f>ANALÍTICO!C547</f>
        <v>10</v>
      </c>
      <c r="B21" s="446" t="str">
        <f>ANALÍTICO!D547</f>
        <v>REVESTIMENTOS INTERNOS</v>
      </c>
      <c r="C21" s="450">
        <f>ANALÍTICO!O547</f>
        <v>43303.05</v>
      </c>
      <c r="D21" s="452">
        <f t="shared" si="0"/>
        <v>3.0326583509842239E-2</v>
      </c>
      <c r="E21" s="79"/>
      <c r="F21" s="79"/>
    </row>
    <row r="22" spans="1:6" ht="15" x14ac:dyDescent="0.25">
      <c r="A22" s="441">
        <f>ANALÍTICO!C576</f>
        <v>11</v>
      </c>
      <c r="B22" s="446" t="str">
        <f>ANALÍTICO!D576</f>
        <v>REVESTIMENTOS EXTERNOS</v>
      </c>
      <c r="C22" s="450">
        <f>ANALÍTICO!O576</f>
        <v>2654.31</v>
      </c>
      <c r="D22" s="452">
        <f t="shared" si="0"/>
        <v>1.8589026379437325E-3</v>
      </c>
      <c r="E22" s="79"/>
      <c r="F22" s="79"/>
    </row>
    <row r="23" spans="1:6" ht="15" x14ac:dyDescent="0.25">
      <c r="A23" s="441">
        <f>ANALÍTICO!C598</f>
        <v>12</v>
      </c>
      <c r="B23" s="446" t="str">
        <f>ANALÍTICO!D598</f>
        <v>PISOS INTERNOS/EXTERNOS</v>
      </c>
      <c r="C23" s="450">
        <f>ANALÍTICO!O598</f>
        <v>85734.549999999988</v>
      </c>
      <c r="D23" s="452">
        <f t="shared" si="0"/>
        <v>6.0042791218026081E-2</v>
      </c>
      <c r="E23" s="79"/>
      <c r="F23" s="79"/>
    </row>
    <row r="24" spans="1:6" ht="15" x14ac:dyDescent="0.25">
      <c r="A24" s="441">
        <f>ANALÍTICO!C647</f>
        <v>13</v>
      </c>
      <c r="B24" s="446" t="str">
        <f>ANALÍTICO!D647</f>
        <v>CORRIMÃO, RODAPÉS, SOLEIRAS E PEITORIS</v>
      </c>
      <c r="C24" s="450">
        <f>ANALÍTICO!O647</f>
        <v>39102.250000000007</v>
      </c>
      <c r="D24" s="452">
        <f t="shared" si="0"/>
        <v>2.7384621869538724E-2</v>
      </c>
      <c r="E24" s="79"/>
      <c r="F24" s="79"/>
    </row>
    <row r="25" spans="1:6" ht="15" x14ac:dyDescent="0.25">
      <c r="A25" s="441">
        <f>ANALÍTICO!C698</f>
        <v>14</v>
      </c>
      <c r="B25" s="446" t="str">
        <f>ANALÍTICO!D698</f>
        <v>INSTALAÇÕES HIDROSSANITÁRIAS</v>
      </c>
      <c r="C25" s="450">
        <f>ANALÍTICO!O698</f>
        <v>88125.209999999992</v>
      </c>
      <c r="D25" s="452">
        <f t="shared" si="0"/>
        <v>6.1717050886424485E-2</v>
      </c>
      <c r="E25" s="79"/>
      <c r="F25" s="79"/>
    </row>
    <row r="26" spans="1:6" ht="15" x14ac:dyDescent="0.25">
      <c r="A26" s="443">
        <f>ANALÍTICO!C1246</f>
        <v>15</v>
      </c>
      <c r="B26" s="446" t="str">
        <f>ANALÍTICO!D1246</f>
        <v>INSTALAÇÕES DE DRENOS PARA AR CONDICIONADO</v>
      </c>
      <c r="C26" s="450">
        <f>ANALÍTICO!O1246</f>
        <v>10851.04</v>
      </c>
      <c r="D26" s="452">
        <f t="shared" si="0"/>
        <v>7.5993485615594861E-3</v>
      </c>
      <c r="E26" s="79"/>
      <c r="F26" s="79"/>
    </row>
    <row r="27" spans="1:6" ht="15" x14ac:dyDescent="0.25">
      <c r="A27" s="441">
        <f>ANALÍTICO!C1267</f>
        <v>16</v>
      </c>
      <c r="B27" s="446" t="str">
        <f>ANALÍTICO!D1267</f>
        <v>INSTALAÇÕES DE PREVENÇÃO CONTRA INCÊNDIOS</v>
      </c>
      <c r="C27" s="450">
        <f>ANALÍTICO!O1267</f>
        <v>5422.7999999999993</v>
      </c>
      <c r="D27" s="452">
        <f t="shared" si="0"/>
        <v>3.797769373223652E-3</v>
      </c>
      <c r="E27" s="79"/>
      <c r="F27" s="79"/>
    </row>
    <row r="28" spans="1:6" ht="15" x14ac:dyDescent="0.25">
      <c r="A28" s="441">
        <f>ANALÍTICO!C1276</f>
        <v>17</v>
      </c>
      <c r="B28" s="446" t="str">
        <f>ANALÍTICO!D1276</f>
        <v>PINTURAS</v>
      </c>
      <c r="C28" s="450">
        <f>ANALÍTICO!O1276</f>
        <v>126507.97999999998</v>
      </c>
      <c r="D28" s="452">
        <f t="shared" si="0"/>
        <v>8.8597796694030811E-2</v>
      </c>
      <c r="E28" s="79"/>
      <c r="F28" s="79"/>
    </row>
    <row r="29" spans="1:6" ht="15" x14ac:dyDescent="0.25">
      <c r="A29" s="441">
        <f>ANALÍTICO!C1352</f>
        <v>18</v>
      </c>
      <c r="B29" s="446" t="str">
        <f>ANALÍTICO!D1352</f>
        <v>SERVIÇOS COMPLEMENTARES E LIMPEZA DA OBRA</v>
      </c>
      <c r="C29" s="450">
        <f>ANALÍTICO!O1352</f>
        <v>15974.609999999997</v>
      </c>
      <c r="D29" s="452">
        <f t="shared" si="0"/>
        <v>1.1187557093603355E-2</v>
      </c>
      <c r="E29" s="79"/>
      <c r="F29" s="79"/>
    </row>
    <row r="30" spans="1:6" ht="15" x14ac:dyDescent="0.25">
      <c r="A30" s="444">
        <v>19</v>
      </c>
      <c r="B30" s="447" t="str">
        <f>'ANALÍTICO ELÉTRICO E LÓGICO'!D11</f>
        <v>INSTALAÇÕES ELÉTRICAS</v>
      </c>
      <c r="C30" s="450">
        <f>'ANALÍTICO ELÉTRICO E LÓGICO'!P11</f>
        <v>387946.61038800003</v>
      </c>
      <c r="D30" s="452">
        <f t="shared" si="0"/>
        <v>0.27169206966465209</v>
      </c>
      <c r="E30" s="79"/>
      <c r="F30" s="79"/>
    </row>
    <row r="31" spans="1:6" ht="15" x14ac:dyDescent="0.25">
      <c r="A31" s="444">
        <v>20</v>
      </c>
      <c r="B31" s="447" t="str">
        <f>'ANALÍTICO ELÉTRICO E LÓGICO'!D821</f>
        <v>SISTEMAS ELÉTRICOS DE COMBATE A INCÊNDIO</v>
      </c>
      <c r="C31" s="450">
        <f>'ANALÍTICO ELÉTRICO E LÓGICO'!P821</f>
        <v>10594.562903999999</v>
      </c>
      <c r="D31" s="452">
        <f t="shared" si="0"/>
        <v>7.4197290181276521E-3</v>
      </c>
      <c r="E31" s="79"/>
      <c r="F31" s="79"/>
    </row>
    <row r="32" spans="1:6" ht="15" x14ac:dyDescent="0.25">
      <c r="A32" s="444">
        <v>21</v>
      </c>
      <c r="B32" s="791" t="str">
        <f>'ANALÍTICO ELÉTRICO E LÓGICO'!D890</f>
        <v>INSTALAÇÕES LÓGICAS, CFTV, TELEFONIA E ALARME</v>
      </c>
      <c r="C32" s="792">
        <f>'ANALÍTICO ELÉTRICO E LÓGICO'!P890</f>
        <v>97056.230255999995</v>
      </c>
      <c r="D32" s="793">
        <f t="shared" si="0"/>
        <v>6.7971744992767494E-2</v>
      </c>
      <c r="E32" s="79"/>
      <c r="F32" s="79"/>
    </row>
    <row r="33" spans="1:6" s="40" customFormat="1" x14ac:dyDescent="0.3">
      <c r="A33" s="858" t="s">
        <v>332</v>
      </c>
      <c r="B33" s="859"/>
      <c r="C33" s="794">
        <f>SUM(C12:C32)</f>
        <v>1427890.8135480003</v>
      </c>
      <c r="D33" s="795">
        <f>SUM(D12:D32)</f>
        <v>0.99999999999999978</v>
      </c>
      <c r="E33" s="854"/>
    </row>
    <row r="34" spans="1:6" x14ac:dyDescent="0.3">
      <c r="E34" s="79"/>
    </row>
    <row r="35" spans="1:6" x14ac:dyDescent="0.3">
      <c r="D35" s="84"/>
    </row>
    <row r="36" spans="1:6" x14ac:dyDescent="0.3">
      <c r="E36" s="38"/>
    </row>
    <row r="38" spans="1:6" x14ac:dyDescent="0.3">
      <c r="F38" s="79"/>
    </row>
    <row r="39" spans="1:6" x14ac:dyDescent="0.3">
      <c r="E39" s="79"/>
    </row>
  </sheetData>
  <customSheetViews>
    <customSheetView guid="{A9E6D264-7B9C-4375-A0CF-466470785BB4}" showPageBreaks="1" fitToPage="1" printArea="1" topLeftCell="A10">
      <selection activeCell="C10" sqref="C10"/>
      <pageMargins left="0.51181102362204722" right="0.51181102362204722" top="0.78740157480314965" bottom="0.78740157480314965" header="0.31496062992125984" footer="0.31496062992125984"/>
      <printOptions horizontalCentered="1"/>
      <pageSetup paperSize="9" scale="97" orientation="portrait" r:id="rId1"/>
    </customSheetView>
    <customSheetView guid="{DD765DCE-E655-456A-9D24-4450FE20736A}" showPageBreaks="1" fitToPage="1" printArea="1" topLeftCell="A10">
      <selection activeCell="C10" sqref="C10"/>
      <pageMargins left="0.51181102362204722" right="0.51181102362204722" top="0.78740157480314965" bottom="0.78740157480314965" header="0.31496062992125984" footer="0.31496062992125984"/>
      <printOptions horizontalCentered="1"/>
      <pageSetup paperSize="9" scale="97" orientation="portrait" r:id="rId2"/>
    </customSheetView>
    <customSheetView guid="{085E57EC-FCE4-472B-96BD-85A48C0D7EC5}" fitToPage="1" showRuler="0" topLeftCell="A7">
      <selection activeCell="C35" sqref="C35"/>
      <pageMargins left="0.51181102362204722" right="0.51181102362204722" top="0.78740157480314965" bottom="0.78740157480314965" header="0.31496062992125984" footer="0.31496062992125984"/>
      <printOptions horizontalCentered="1"/>
      <pageSetup paperSize="9" scale="97" orientation="portrait" r:id="rId3"/>
      <headerFooter alignWithMargins="0"/>
    </customSheetView>
    <customSheetView guid="{64A379BA-3141-462E-A550-7507503698AB}" fitToPage="1" topLeftCell="A7">
      <selection activeCell="C35" sqref="C35"/>
      <pageMargins left="0.51181102362204722" right="0.51181102362204722" top="0.78740157480314965" bottom="0.78740157480314965" header="0.31496062992125984" footer="0.31496062992125984"/>
      <printOptions horizontalCentered="1"/>
      <pageSetup paperSize="9" scale="97" orientation="portrait" r:id="rId4"/>
    </customSheetView>
  </customSheetViews>
  <mergeCells count="6">
    <mergeCell ref="A33:B33"/>
    <mergeCell ref="A1:D1"/>
    <mergeCell ref="A2:D2"/>
    <mergeCell ref="A4:D4"/>
    <mergeCell ref="B3:D3"/>
    <mergeCell ref="A5:D5"/>
  </mergeCells>
  <phoneticPr fontId="0" type="noConversion"/>
  <printOptions horizontalCentered="1"/>
  <pageMargins left="0.51181102362204722" right="0.51181102362204722" top="0.78740157480314965" bottom="0.78740157480314965" header="0.31496062992125984" footer="0.31496062992125984"/>
  <pageSetup paperSize="9" scale="97" orientation="portrait"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36"/>
  <sheetViews>
    <sheetView view="pageBreakPreview" topLeftCell="G1" zoomScaleNormal="100" zoomScaleSheetLayoutView="100" workbookViewId="0">
      <pane ySplit="9" topLeftCell="A1389" activePane="bottomLeft" state="frozen"/>
      <selection pane="bottomLeft" activeCell="O1403" sqref="O1403"/>
    </sheetView>
  </sheetViews>
  <sheetFormatPr defaultRowHeight="15" x14ac:dyDescent="0.25"/>
  <cols>
    <col min="1" max="1" width="9.140625" style="6"/>
    <col min="2" max="2" width="12.7109375" style="11" customWidth="1"/>
    <col min="3" max="3" width="10.28515625" style="11" customWidth="1"/>
    <col min="4" max="4" width="61.140625" style="6" customWidth="1"/>
    <col min="5" max="5" width="11.5703125" style="6" customWidth="1"/>
    <col min="6" max="6" width="14.140625" style="6" customWidth="1"/>
    <col min="7" max="7" width="8.28515625" style="6" customWidth="1"/>
    <col min="8" max="8" width="15.85546875" style="6" customWidth="1"/>
    <col min="9" max="10" width="13.5703125" style="6" customWidth="1"/>
    <col min="11" max="11" width="14.85546875" style="6" customWidth="1"/>
    <col min="12" max="12" width="15" style="6" customWidth="1"/>
    <col min="13" max="13" width="17.7109375" style="6" customWidth="1"/>
    <col min="14" max="14" width="15.140625" style="6" customWidth="1"/>
    <col min="15" max="15" width="18" style="6" customWidth="1"/>
    <col min="16" max="17" width="10.42578125" style="6" bestFit="1" customWidth="1"/>
    <col min="18" max="16384" width="9.140625" style="6"/>
  </cols>
  <sheetData>
    <row r="1" spans="1:15" s="25" customFormat="1" ht="20.25" customHeight="1" x14ac:dyDescent="0.2">
      <c r="A1" s="868" t="s">
        <v>1</v>
      </c>
      <c r="B1" s="869"/>
      <c r="C1" s="869"/>
      <c r="D1" s="869"/>
      <c r="E1" s="869"/>
      <c r="F1" s="869"/>
      <c r="G1" s="869"/>
      <c r="H1" s="869"/>
      <c r="I1" s="869"/>
      <c r="J1" s="869"/>
      <c r="K1" s="869"/>
      <c r="L1" s="869"/>
      <c r="M1" s="869"/>
      <c r="N1" s="869"/>
      <c r="O1" s="870"/>
    </row>
    <row r="2" spans="1:15" s="25" customFormat="1" ht="14.25" x14ac:dyDescent="0.2">
      <c r="A2" s="871"/>
      <c r="B2" s="872"/>
      <c r="C2" s="872"/>
      <c r="D2" s="872"/>
      <c r="E2" s="872"/>
      <c r="F2" s="872"/>
      <c r="G2" s="872"/>
      <c r="H2" s="872"/>
      <c r="I2" s="872"/>
      <c r="J2" s="872"/>
      <c r="K2" s="872"/>
      <c r="L2" s="872"/>
      <c r="M2" s="872"/>
      <c r="N2" s="872"/>
      <c r="O2" s="873"/>
    </row>
    <row r="3" spans="1:15" s="25" customFormat="1" ht="14.25" x14ac:dyDescent="0.2">
      <c r="A3" s="871"/>
      <c r="B3" s="872"/>
      <c r="C3" s="872"/>
      <c r="D3" s="872"/>
      <c r="E3" s="872"/>
      <c r="F3" s="872"/>
      <c r="G3" s="872"/>
      <c r="H3" s="872"/>
      <c r="I3" s="872"/>
      <c r="J3" s="872"/>
      <c r="K3" s="872"/>
      <c r="L3" s="872"/>
      <c r="M3" s="872"/>
      <c r="N3" s="872"/>
      <c r="O3" s="873"/>
    </row>
    <row r="4" spans="1:15" s="25" customFormat="1" ht="14.25" x14ac:dyDescent="0.2">
      <c r="A4" s="871"/>
      <c r="B4" s="872"/>
      <c r="C4" s="872"/>
      <c r="D4" s="872"/>
      <c r="E4" s="872"/>
      <c r="F4" s="872"/>
      <c r="G4" s="872"/>
      <c r="H4" s="872"/>
      <c r="I4" s="872"/>
      <c r="J4" s="872"/>
      <c r="K4" s="872"/>
      <c r="L4" s="872"/>
      <c r="M4" s="872"/>
      <c r="N4" s="872"/>
      <c r="O4" s="873"/>
    </row>
    <row r="5" spans="1:15" s="25" customFormat="1" ht="14.25" x14ac:dyDescent="0.2">
      <c r="A5" s="871"/>
      <c r="B5" s="872"/>
      <c r="C5" s="872"/>
      <c r="D5" s="872"/>
      <c r="E5" s="872"/>
      <c r="F5" s="872"/>
      <c r="G5" s="872"/>
      <c r="H5" s="872"/>
      <c r="I5" s="872"/>
      <c r="J5" s="872"/>
      <c r="K5" s="872"/>
      <c r="L5" s="872"/>
      <c r="M5" s="872"/>
      <c r="N5" s="872"/>
      <c r="O5" s="873"/>
    </row>
    <row r="6" spans="1:15" s="25" customFormat="1" ht="14.25" x14ac:dyDescent="0.2">
      <c r="A6" s="49"/>
      <c r="B6" s="50" t="s">
        <v>262</v>
      </c>
      <c r="C6" s="50"/>
      <c r="D6" s="51" t="str">
        <f>RESUMO!B6</f>
        <v>FÓRUM TRABALHISTA DE CORNÉLIO PROCÓPIO</v>
      </c>
      <c r="E6" s="52"/>
      <c r="F6" s="53"/>
      <c r="G6" s="53"/>
      <c r="H6" s="54"/>
      <c r="I6" s="55"/>
      <c r="J6" s="55"/>
      <c r="K6" s="54"/>
      <c r="L6" s="56"/>
      <c r="M6" s="57"/>
      <c r="N6" s="58"/>
      <c r="O6" s="59"/>
    </row>
    <row r="7" spans="1:15" s="25" customFormat="1" ht="14.25" x14ac:dyDescent="0.2">
      <c r="A7" s="60"/>
      <c r="B7" s="50" t="s">
        <v>263</v>
      </c>
      <c r="C7" s="50"/>
      <c r="D7" s="51" t="str">
        <f>RESUMO!B7</f>
        <v>Avenida XV de Novembro, 830</v>
      </c>
      <c r="E7" s="52"/>
      <c r="F7" s="61"/>
      <c r="G7" s="61"/>
      <c r="H7" s="54"/>
      <c r="I7" s="55"/>
      <c r="J7" s="55"/>
      <c r="K7" s="54"/>
      <c r="L7" s="56"/>
      <c r="M7" s="57" t="s">
        <v>264</v>
      </c>
      <c r="N7" s="62">
        <v>0.24560000000000001</v>
      </c>
      <c r="O7" s="63"/>
    </row>
    <row r="8" spans="1:15" s="25" customFormat="1" ht="14.25" x14ac:dyDescent="0.2">
      <c r="A8" s="64"/>
      <c r="B8" s="50" t="s">
        <v>265</v>
      </c>
      <c r="C8" s="50"/>
      <c r="D8" s="51" t="str">
        <f>RESUMO!B8</f>
        <v>Cornélio Procópio/PR</v>
      </c>
      <c r="E8" s="65"/>
      <c r="F8" s="66"/>
      <c r="G8" s="66"/>
      <c r="H8" s="54"/>
      <c r="I8" s="55"/>
      <c r="J8" s="55"/>
      <c r="K8" s="54"/>
      <c r="L8" s="56"/>
      <c r="M8" s="57"/>
      <c r="N8" s="62"/>
      <c r="O8" s="63"/>
    </row>
    <row r="9" spans="1:15" s="25" customFormat="1" ht="22.5" customHeight="1" thickBot="1" x14ac:dyDescent="0.25">
      <c r="A9" s="67"/>
      <c r="B9" s="68" t="s">
        <v>266</v>
      </c>
      <c r="C9" s="68"/>
      <c r="D9" s="343">
        <f>RESUMO!B9</f>
        <v>2155.41</v>
      </c>
      <c r="E9" s="69"/>
      <c r="F9" s="70"/>
      <c r="G9" s="70"/>
      <c r="H9" s="71"/>
      <c r="I9" s="72"/>
      <c r="J9" s="72"/>
      <c r="K9" s="71"/>
      <c r="L9" s="73"/>
      <c r="M9" s="74" t="s">
        <v>261</v>
      </c>
      <c r="N9" s="75">
        <v>41852</v>
      </c>
      <c r="O9" s="76"/>
    </row>
    <row r="10" spans="1:15" s="25" customFormat="1" ht="14.25" x14ac:dyDescent="0.2">
      <c r="A10" s="26"/>
      <c r="B10" s="12"/>
      <c r="C10" s="9"/>
      <c r="D10" s="2"/>
      <c r="E10" s="2"/>
      <c r="F10" s="2"/>
      <c r="G10" s="2"/>
      <c r="H10" s="7"/>
      <c r="I10" s="8"/>
      <c r="J10" s="8"/>
      <c r="K10" s="7"/>
      <c r="M10" s="1"/>
      <c r="N10" s="3"/>
      <c r="O10" s="3"/>
    </row>
    <row r="11" spans="1:15" s="25" customFormat="1" ht="14.25" x14ac:dyDescent="0.2">
      <c r="A11" s="866" t="s">
        <v>267</v>
      </c>
      <c r="B11" s="866" t="s">
        <v>302</v>
      </c>
      <c r="C11" s="875" t="s">
        <v>268</v>
      </c>
      <c r="D11" s="877" t="s">
        <v>303</v>
      </c>
      <c r="E11" s="866" t="s">
        <v>258</v>
      </c>
      <c r="F11" s="866" t="s">
        <v>274</v>
      </c>
      <c r="G11" s="184"/>
      <c r="H11" s="866" t="s">
        <v>269</v>
      </c>
      <c r="I11" s="879"/>
      <c r="J11" s="879"/>
      <c r="K11" s="866" t="s">
        <v>336</v>
      </c>
      <c r="L11" s="879"/>
      <c r="M11" s="879"/>
      <c r="N11" s="866" t="s">
        <v>260</v>
      </c>
      <c r="O11" s="866" t="s">
        <v>273</v>
      </c>
    </row>
    <row r="12" spans="1:15" s="27" customFormat="1" ht="24" x14ac:dyDescent="0.2">
      <c r="A12" s="874"/>
      <c r="B12" s="874"/>
      <c r="C12" s="876"/>
      <c r="D12" s="878"/>
      <c r="E12" s="878"/>
      <c r="F12" s="878" t="s">
        <v>259</v>
      </c>
      <c r="G12" s="186"/>
      <c r="H12" s="185" t="s">
        <v>270</v>
      </c>
      <c r="I12" s="185" t="s">
        <v>271</v>
      </c>
      <c r="J12" s="185" t="s">
        <v>272</v>
      </c>
      <c r="K12" s="185" t="s">
        <v>270</v>
      </c>
      <c r="L12" s="185" t="s">
        <v>271</v>
      </c>
      <c r="M12" s="185" t="s">
        <v>272</v>
      </c>
      <c r="N12" s="867"/>
      <c r="O12" s="867"/>
    </row>
    <row r="13" spans="1:15" s="25" customFormat="1" ht="14.25" x14ac:dyDescent="0.2">
      <c r="A13" s="163"/>
      <c r="B13" s="157"/>
      <c r="C13" s="164"/>
      <c r="D13" s="111"/>
      <c r="E13" s="165"/>
      <c r="F13" s="111"/>
      <c r="G13" s="165"/>
      <c r="H13" s="122"/>
      <c r="I13" s="123"/>
      <c r="J13" s="124"/>
      <c r="K13" s="122"/>
      <c r="L13" s="123"/>
      <c r="M13" s="124"/>
      <c r="N13" s="111"/>
      <c r="O13" s="111"/>
    </row>
    <row r="14" spans="1:15" s="25" customFormat="1" ht="15.75" x14ac:dyDescent="0.2">
      <c r="A14" s="187"/>
      <c r="B14" s="188"/>
      <c r="C14" s="189">
        <v>1</v>
      </c>
      <c r="D14" s="190" t="s">
        <v>304</v>
      </c>
      <c r="E14" s="191"/>
      <c r="F14" s="190"/>
      <c r="G14" s="191"/>
      <c r="H14" s="192"/>
      <c r="I14" s="193"/>
      <c r="J14" s="194"/>
      <c r="K14" s="192"/>
      <c r="L14" s="193"/>
      <c r="M14" s="194"/>
      <c r="N14" s="195"/>
      <c r="O14" s="196">
        <f>SUM(O16:O20)</f>
        <v>77387.210000000006</v>
      </c>
    </row>
    <row r="15" spans="1:15" s="25" customFormat="1" ht="14.25" x14ac:dyDescent="0.2">
      <c r="A15" s="166"/>
      <c r="B15" s="158"/>
      <c r="C15" s="10"/>
      <c r="D15" s="146" t="s">
        <v>288</v>
      </c>
      <c r="E15" s="32"/>
      <c r="F15" s="146"/>
      <c r="G15" s="32"/>
      <c r="H15" s="125"/>
      <c r="I15" s="28"/>
      <c r="J15" s="126"/>
      <c r="K15" s="125"/>
      <c r="L15" s="28"/>
      <c r="M15" s="126"/>
      <c r="N15" s="112"/>
      <c r="O15" s="112"/>
    </row>
    <row r="16" spans="1:15" s="25" customFormat="1" ht="14.25" x14ac:dyDescent="0.2">
      <c r="A16" s="581" t="s">
        <v>277</v>
      </c>
      <c r="B16" s="582">
        <v>2706</v>
      </c>
      <c r="C16" s="583" t="s">
        <v>275</v>
      </c>
      <c r="D16" s="584" t="s">
        <v>904</v>
      </c>
      <c r="E16" s="583" t="s">
        <v>305</v>
      </c>
      <c r="F16" s="585">
        <v>8</v>
      </c>
      <c r="G16" s="586"/>
      <c r="H16" s="587">
        <v>0</v>
      </c>
      <c r="I16" s="588">
        <f>44.65*4*22</f>
        <v>3929.2</v>
      </c>
      <c r="J16" s="589">
        <f>H16+I16</f>
        <v>3929.2</v>
      </c>
      <c r="K16" s="587">
        <f>H16*F16</f>
        <v>0</v>
      </c>
      <c r="L16" s="588">
        <f>I16*F16</f>
        <v>31433.599999999999</v>
      </c>
      <c r="M16" s="589">
        <f>K16+L16</f>
        <v>31433.599999999999</v>
      </c>
      <c r="N16" s="585">
        <f>M16*$N$7</f>
        <v>7720.0921600000001</v>
      </c>
      <c r="O16" s="585">
        <f>ROUND(M16+N16,2)</f>
        <v>39153.69</v>
      </c>
    </row>
    <row r="17" spans="1:15" s="25" customFormat="1" ht="14.25" x14ac:dyDescent="0.2">
      <c r="A17" s="166"/>
      <c r="B17" s="149"/>
      <c r="C17" s="152"/>
      <c r="D17" s="146" t="s">
        <v>288</v>
      </c>
      <c r="E17" s="32"/>
      <c r="F17" s="147"/>
      <c r="G17" s="33"/>
      <c r="H17" s="129"/>
      <c r="I17" s="29"/>
      <c r="J17" s="130"/>
      <c r="K17" s="129"/>
      <c r="L17" s="29"/>
      <c r="M17" s="130"/>
      <c r="N17" s="114"/>
      <c r="O17" s="114"/>
    </row>
    <row r="18" spans="1:15" s="25" customFormat="1" ht="14.25" x14ac:dyDescent="0.2">
      <c r="A18" s="581" t="s">
        <v>277</v>
      </c>
      <c r="B18" s="582">
        <v>4069</v>
      </c>
      <c r="C18" s="583" t="s">
        <v>160</v>
      </c>
      <c r="D18" s="590" t="s">
        <v>306</v>
      </c>
      <c r="E18" s="583" t="s">
        <v>305</v>
      </c>
      <c r="F18" s="585">
        <v>8</v>
      </c>
      <c r="G18" s="586"/>
      <c r="H18" s="587">
        <v>0</v>
      </c>
      <c r="I18" s="588">
        <f>21.42*8*22</f>
        <v>3769.92</v>
      </c>
      <c r="J18" s="589">
        <f>H18+I18</f>
        <v>3769.92</v>
      </c>
      <c r="K18" s="587">
        <f>H18*F18</f>
        <v>0</v>
      </c>
      <c r="L18" s="588">
        <f>I18*F18</f>
        <v>30159.360000000001</v>
      </c>
      <c r="M18" s="589">
        <f>K18+L18</f>
        <v>30159.360000000001</v>
      </c>
      <c r="N18" s="585">
        <f>M18*$N$7</f>
        <v>7407.1388160000006</v>
      </c>
      <c r="O18" s="585">
        <f>ROUND(M18+N18,2)</f>
        <v>37566.5</v>
      </c>
    </row>
    <row r="19" spans="1:15" s="25" customFormat="1" ht="14.25" x14ac:dyDescent="0.2">
      <c r="A19" s="166"/>
      <c r="B19" s="159"/>
      <c r="C19" s="34"/>
      <c r="D19" s="146" t="s">
        <v>288</v>
      </c>
      <c r="E19" s="32"/>
      <c r="F19" s="147"/>
      <c r="G19" s="33"/>
      <c r="H19" s="129"/>
      <c r="I19" s="29"/>
      <c r="J19" s="130"/>
      <c r="K19" s="129"/>
      <c r="L19" s="29"/>
      <c r="M19" s="130"/>
      <c r="N19" s="114"/>
      <c r="O19" s="114"/>
    </row>
    <row r="20" spans="1:15" s="25" customFormat="1" ht="14.25" x14ac:dyDescent="0.2">
      <c r="A20" s="581" t="s">
        <v>277</v>
      </c>
      <c r="B20" s="582" t="s">
        <v>308</v>
      </c>
      <c r="C20" s="583" t="s">
        <v>161</v>
      </c>
      <c r="D20" s="584" t="s">
        <v>309</v>
      </c>
      <c r="E20" s="583" t="s">
        <v>310</v>
      </c>
      <c r="F20" s="585">
        <v>2</v>
      </c>
      <c r="G20" s="586"/>
      <c r="H20" s="587">
        <v>234.69</v>
      </c>
      <c r="I20" s="588">
        <v>33.06</v>
      </c>
      <c r="J20" s="589">
        <f>H20+I20</f>
        <v>267.75</v>
      </c>
      <c r="K20" s="587">
        <f>H20*F20</f>
        <v>469.38</v>
      </c>
      <c r="L20" s="588">
        <f>I20*F20</f>
        <v>66.12</v>
      </c>
      <c r="M20" s="589">
        <f>K20+L20</f>
        <v>535.5</v>
      </c>
      <c r="N20" s="585">
        <f>M20*$N$7</f>
        <v>131.5188</v>
      </c>
      <c r="O20" s="585">
        <f>ROUND(M20+N20,2)</f>
        <v>667.02</v>
      </c>
    </row>
    <row r="21" spans="1:15" s="25" customFormat="1" ht="14.25" x14ac:dyDescent="0.2">
      <c r="A21" s="166"/>
      <c r="B21" s="160"/>
      <c r="C21" s="31"/>
      <c r="D21" s="146" t="s">
        <v>288</v>
      </c>
      <c r="E21" s="32"/>
      <c r="F21" s="147"/>
      <c r="G21" s="33"/>
      <c r="H21" s="129"/>
      <c r="I21" s="29"/>
      <c r="J21" s="130"/>
      <c r="K21" s="129"/>
      <c r="L21" s="29"/>
      <c r="M21" s="130"/>
      <c r="N21" s="115"/>
      <c r="O21" s="115"/>
    </row>
    <row r="22" spans="1:15" s="25" customFormat="1" ht="15.75" x14ac:dyDescent="0.2">
      <c r="A22" s="187"/>
      <c r="B22" s="188"/>
      <c r="C22" s="189">
        <v>2</v>
      </c>
      <c r="D22" s="190" t="s">
        <v>177</v>
      </c>
      <c r="E22" s="191"/>
      <c r="F22" s="190"/>
      <c r="G22" s="191"/>
      <c r="H22" s="192"/>
      <c r="I22" s="193"/>
      <c r="J22" s="194"/>
      <c r="K22" s="192"/>
      <c r="L22" s="193"/>
      <c r="M22" s="194"/>
      <c r="N22" s="195"/>
      <c r="O22" s="196">
        <f>SUM(O24:O26)</f>
        <v>11951.53</v>
      </c>
    </row>
    <row r="23" spans="1:15" s="25" customFormat="1" ht="14.25" x14ac:dyDescent="0.2">
      <c r="A23" s="166"/>
      <c r="B23" s="160"/>
      <c r="C23" s="31"/>
      <c r="D23" s="146" t="s">
        <v>288</v>
      </c>
      <c r="E23" s="32"/>
      <c r="F23" s="147"/>
      <c r="G23" s="33"/>
      <c r="H23" s="129"/>
      <c r="I23" s="29"/>
      <c r="J23" s="130"/>
      <c r="K23" s="129"/>
      <c r="L23" s="29"/>
      <c r="M23" s="130"/>
      <c r="N23" s="114"/>
      <c r="O23" s="114"/>
    </row>
    <row r="24" spans="1:15" s="25" customFormat="1" ht="33.75" x14ac:dyDescent="0.2">
      <c r="A24" s="581" t="s">
        <v>277</v>
      </c>
      <c r="B24" s="582">
        <v>73618</v>
      </c>
      <c r="C24" s="583" t="s">
        <v>276</v>
      </c>
      <c r="D24" s="584" t="s">
        <v>71</v>
      </c>
      <c r="E24" s="583" t="s">
        <v>253</v>
      </c>
      <c r="F24" s="585">
        <v>500</v>
      </c>
      <c r="G24" s="586"/>
      <c r="H24" s="587">
        <v>7.19</v>
      </c>
      <c r="I24" s="588"/>
      <c r="J24" s="589">
        <f>H24+I24</f>
        <v>7.19</v>
      </c>
      <c r="K24" s="587">
        <f>H24*F24</f>
        <v>3595</v>
      </c>
      <c r="L24" s="588">
        <f>I24*F24</f>
        <v>0</v>
      </c>
      <c r="M24" s="589">
        <f>K24+L24</f>
        <v>3595</v>
      </c>
      <c r="N24" s="585">
        <f>M24*$N$7</f>
        <v>882.93200000000002</v>
      </c>
      <c r="O24" s="585">
        <f>ROUND(M24+N24,2)</f>
        <v>4477.93</v>
      </c>
    </row>
    <row r="25" spans="1:15" s="25" customFormat="1" ht="14.25" x14ac:dyDescent="0.2">
      <c r="A25" s="166"/>
      <c r="B25" s="160"/>
      <c r="C25" s="31"/>
      <c r="D25" s="146" t="s">
        <v>288</v>
      </c>
      <c r="E25" s="32"/>
      <c r="F25" s="147"/>
      <c r="G25" s="33"/>
      <c r="H25" s="129"/>
      <c r="I25" s="29"/>
      <c r="J25" s="130"/>
      <c r="K25" s="129"/>
      <c r="L25" s="29"/>
      <c r="M25" s="130"/>
      <c r="N25" s="116"/>
      <c r="O25" s="116"/>
    </row>
    <row r="26" spans="1:15" s="25" customFormat="1" ht="14.25" x14ac:dyDescent="0.2">
      <c r="A26" s="581"/>
      <c r="B26" s="582" t="s">
        <v>280</v>
      </c>
      <c r="C26" s="583" t="s">
        <v>276</v>
      </c>
      <c r="D26" s="584" t="s">
        <v>905</v>
      </c>
      <c r="E26" s="583" t="s">
        <v>281</v>
      </c>
      <c r="F26" s="585">
        <v>75</v>
      </c>
      <c r="G26" s="586"/>
      <c r="H26" s="587">
        <v>80</v>
      </c>
      <c r="I26" s="588"/>
      <c r="J26" s="589">
        <f>H26+I26</f>
        <v>80</v>
      </c>
      <c r="K26" s="587">
        <f>H26*F26</f>
        <v>6000</v>
      </c>
      <c r="L26" s="588">
        <f>I26*F26</f>
        <v>0</v>
      </c>
      <c r="M26" s="589">
        <f>K26+L26</f>
        <v>6000</v>
      </c>
      <c r="N26" s="585">
        <f>M26*$N$7</f>
        <v>1473.6000000000001</v>
      </c>
      <c r="O26" s="585">
        <f>ROUND(M26+N26,2)</f>
        <v>7473.6</v>
      </c>
    </row>
    <row r="27" spans="1:15" s="25" customFormat="1" ht="14.25" x14ac:dyDescent="0.2">
      <c r="A27" s="166"/>
      <c r="B27" s="160"/>
      <c r="C27" s="31"/>
      <c r="D27" s="146" t="s">
        <v>288</v>
      </c>
      <c r="E27" s="32"/>
      <c r="F27" s="147"/>
      <c r="G27" s="33"/>
      <c r="H27" s="129"/>
      <c r="I27" s="29"/>
      <c r="J27" s="130"/>
      <c r="K27" s="129"/>
      <c r="L27" s="29"/>
      <c r="M27" s="130"/>
      <c r="N27" s="116"/>
      <c r="O27" s="116"/>
    </row>
    <row r="28" spans="1:15" s="25" customFormat="1" ht="15.75" x14ac:dyDescent="0.2">
      <c r="A28" s="187"/>
      <c r="B28" s="188"/>
      <c r="C28" s="189">
        <v>3</v>
      </c>
      <c r="D28" s="190" t="s">
        <v>492</v>
      </c>
      <c r="E28" s="191"/>
      <c r="F28" s="190"/>
      <c r="G28" s="191"/>
      <c r="H28" s="192"/>
      <c r="I28" s="193"/>
      <c r="J28" s="194"/>
      <c r="K28" s="192"/>
      <c r="L28" s="193"/>
      <c r="M28" s="194"/>
      <c r="N28" s="195"/>
      <c r="O28" s="196">
        <f>SUM(O30:O120)</f>
        <v>63869.80999999999</v>
      </c>
    </row>
    <row r="29" spans="1:15" s="25" customFormat="1" ht="14.25" x14ac:dyDescent="0.2">
      <c r="A29" s="166"/>
      <c r="B29" s="161"/>
      <c r="C29" s="36"/>
      <c r="D29" s="146" t="s">
        <v>288</v>
      </c>
      <c r="E29" s="32"/>
      <c r="F29" s="147"/>
      <c r="G29" s="33"/>
      <c r="H29" s="129"/>
      <c r="I29" s="29"/>
      <c r="J29" s="130"/>
      <c r="K29" s="129"/>
      <c r="L29" s="29"/>
      <c r="M29" s="130"/>
      <c r="N29" s="114"/>
      <c r="O29" s="114"/>
    </row>
    <row r="30" spans="1:15" s="356" customFormat="1" ht="11.25" x14ac:dyDescent="0.2">
      <c r="A30" s="402"/>
      <c r="B30" s="403"/>
      <c r="C30" s="404"/>
      <c r="D30" s="405" t="s">
        <v>130</v>
      </c>
      <c r="E30" s="406"/>
      <c r="F30" s="407"/>
      <c r="G30" s="408"/>
      <c r="H30" s="409"/>
      <c r="I30" s="410"/>
      <c r="J30" s="411"/>
      <c r="K30" s="409"/>
      <c r="L30" s="410"/>
      <c r="M30" s="411"/>
      <c r="N30" s="412"/>
      <c r="O30" s="412"/>
    </row>
    <row r="31" spans="1:15" s="25" customFormat="1" ht="14.25" x14ac:dyDescent="0.2">
      <c r="A31" s="166"/>
      <c r="B31" s="161"/>
      <c r="C31" s="36"/>
      <c r="D31" s="146"/>
      <c r="E31" s="32"/>
      <c r="F31" s="147"/>
      <c r="G31" s="33"/>
      <c r="H31" s="129"/>
      <c r="I31" s="29"/>
      <c r="J31" s="130"/>
      <c r="K31" s="129"/>
      <c r="L31" s="29"/>
      <c r="M31" s="130"/>
      <c r="N31" s="114"/>
      <c r="O31" s="114"/>
    </row>
    <row r="32" spans="1:15" s="25" customFormat="1" ht="22.5" x14ac:dyDescent="0.2">
      <c r="A32" s="581" t="s">
        <v>278</v>
      </c>
      <c r="B32" s="582" t="s">
        <v>131</v>
      </c>
      <c r="C32" s="583" t="s">
        <v>584</v>
      </c>
      <c r="D32" s="584" t="s">
        <v>906</v>
      </c>
      <c r="E32" s="583" t="s">
        <v>281</v>
      </c>
      <c r="F32" s="585">
        <f>'MEMÓRIA DE CÁLCULO'!R59+'MEMÓRIA DE CÁLCULO'!R82+'MEMÓRIA DE CÁLCULO'!R104</f>
        <v>34</v>
      </c>
      <c r="G32" s="586"/>
      <c r="H32" s="588">
        <f>ROUND(SUM(H33:H33),2)</f>
        <v>0</v>
      </c>
      <c r="I32" s="588">
        <f>ROUND(SUM(I33:I33),2)</f>
        <v>65.62</v>
      </c>
      <c r="J32" s="589">
        <f>H32+I32</f>
        <v>65.62</v>
      </c>
      <c r="K32" s="587">
        <f>H32*F32</f>
        <v>0</v>
      </c>
      <c r="L32" s="588">
        <f>I32*F32</f>
        <v>2231.08</v>
      </c>
      <c r="M32" s="589">
        <f>K32+L32</f>
        <v>2231.08</v>
      </c>
      <c r="N32" s="585">
        <f>M32*$N$7</f>
        <v>547.95324800000003</v>
      </c>
      <c r="O32" s="585">
        <f>ROUND(M32+N32,2)</f>
        <v>2779.03</v>
      </c>
    </row>
    <row r="33" spans="1:15" s="356" customFormat="1" ht="22.5" x14ac:dyDescent="0.2">
      <c r="A33" s="359"/>
      <c r="B33" s="160"/>
      <c r="C33" s="31"/>
      <c r="D33" s="146" t="str">
        <f>D32</f>
        <v>Furo em concreto com coroas diamantadas, utilizando perfuratriz elétrica Ø 5" a 5 1/4" profundidade 40 cm</v>
      </c>
      <c r="E33" s="149" t="s">
        <v>281</v>
      </c>
      <c r="F33" s="147">
        <v>1</v>
      </c>
      <c r="G33" s="435">
        <v>65.62</v>
      </c>
      <c r="H33" s="129"/>
      <c r="I33" s="35">
        <f>F33*G33</f>
        <v>65.62</v>
      </c>
      <c r="J33" s="130"/>
      <c r="K33" s="129"/>
      <c r="L33" s="29"/>
      <c r="M33" s="130"/>
      <c r="N33" s="116"/>
      <c r="O33" s="436"/>
    </row>
    <row r="34" spans="1:15" s="356" customFormat="1" ht="11.25" x14ac:dyDescent="0.2">
      <c r="A34" s="359"/>
      <c r="B34" s="160"/>
      <c r="C34" s="31"/>
      <c r="D34" s="146" t="s">
        <v>288</v>
      </c>
      <c r="E34" s="32"/>
      <c r="F34" s="147"/>
      <c r="G34" s="33"/>
      <c r="H34" s="129"/>
      <c r="I34" s="29"/>
      <c r="J34" s="130"/>
      <c r="K34" s="129"/>
      <c r="L34" s="29"/>
      <c r="M34" s="130"/>
      <c r="N34" s="116"/>
      <c r="O34" s="436"/>
    </row>
    <row r="35" spans="1:15" s="25" customFormat="1" ht="22.5" x14ac:dyDescent="0.2">
      <c r="A35" s="581" t="s">
        <v>278</v>
      </c>
      <c r="B35" s="582" t="s">
        <v>132</v>
      </c>
      <c r="C35" s="583" t="s">
        <v>585</v>
      </c>
      <c r="D35" s="584" t="s">
        <v>907</v>
      </c>
      <c r="E35" s="583" t="s">
        <v>281</v>
      </c>
      <c r="F35" s="585">
        <f>'MEMÓRIA DE CÁLCULO'!Q59+'MEMÓRIA DE CÁLCULO'!Q82+'MEMÓRIA DE CÁLCULO'!Q104</f>
        <v>26</v>
      </c>
      <c r="G35" s="586"/>
      <c r="H35" s="588">
        <f>ROUND(SUM(H36:H36),2)</f>
        <v>0</v>
      </c>
      <c r="I35" s="588">
        <f>ROUND(SUM(I36:I36),2)</f>
        <v>15.15</v>
      </c>
      <c r="J35" s="589">
        <f>H35+I35</f>
        <v>15.15</v>
      </c>
      <c r="K35" s="587">
        <f>H35*F35</f>
        <v>0</v>
      </c>
      <c r="L35" s="588">
        <f>I35*F35</f>
        <v>393.90000000000003</v>
      </c>
      <c r="M35" s="589">
        <f>K35+L35</f>
        <v>393.90000000000003</v>
      </c>
      <c r="N35" s="585">
        <f>M35*$N$7</f>
        <v>96.74184000000001</v>
      </c>
      <c r="O35" s="585">
        <f>ROUND(M35+N35,2)</f>
        <v>490.64</v>
      </c>
    </row>
    <row r="36" spans="1:15" s="356" customFormat="1" ht="22.5" x14ac:dyDescent="0.2">
      <c r="A36" s="359"/>
      <c r="B36" s="160"/>
      <c r="C36" s="31"/>
      <c r="D36" s="146" t="str">
        <f>D35</f>
        <v>Furo em concreto com broca de widia, utilizando martele elétrico Ø 1 1/2" profundidade 15 cm</v>
      </c>
      <c r="E36" s="149" t="s">
        <v>281</v>
      </c>
      <c r="F36" s="147">
        <v>1</v>
      </c>
      <c r="G36" s="435">
        <v>15.15</v>
      </c>
      <c r="H36" s="129"/>
      <c r="I36" s="35">
        <f>F36*G36</f>
        <v>15.15</v>
      </c>
      <c r="J36" s="130"/>
      <c r="K36" s="129"/>
      <c r="L36" s="29"/>
      <c r="M36" s="130"/>
      <c r="N36" s="116"/>
      <c r="O36" s="436"/>
    </row>
    <row r="37" spans="1:15" s="356" customFormat="1" ht="11.25" x14ac:dyDescent="0.2">
      <c r="A37" s="359"/>
      <c r="B37" s="160"/>
      <c r="C37" s="31"/>
      <c r="D37" s="146" t="s">
        <v>288</v>
      </c>
      <c r="E37" s="32"/>
      <c r="F37" s="147"/>
      <c r="G37" s="33"/>
      <c r="H37" s="129"/>
      <c r="I37" s="29"/>
      <c r="J37" s="130"/>
      <c r="K37" s="129"/>
      <c r="L37" s="29"/>
      <c r="M37" s="130"/>
      <c r="N37" s="116"/>
      <c r="O37" s="436"/>
    </row>
    <row r="38" spans="1:15" s="356" customFormat="1" ht="11.25" x14ac:dyDescent="0.2">
      <c r="A38" s="402"/>
      <c r="B38" s="403"/>
      <c r="C38" s="404"/>
      <c r="D38" s="405" t="s">
        <v>431</v>
      </c>
      <c r="E38" s="406"/>
      <c r="F38" s="407"/>
      <c r="G38" s="408"/>
      <c r="H38" s="409"/>
      <c r="I38" s="410"/>
      <c r="J38" s="411"/>
      <c r="K38" s="409"/>
      <c r="L38" s="410"/>
      <c r="M38" s="411"/>
      <c r="N38" s="412"/>
      <c r="O38" s="412"/>
    </row>
    <row r="39" spans="1:15" s="25" customFormat="1" ht="8.25" customHeight="1" x14ac:dyDescent="0.2">
      <c r="A39" s="166"/>
      <c r="B39" s="161"/>
      <c r="C39" s="36"/>
      <c r="D39" s="146" t="s">
        <v>288</v>
      </c>
      <c r="E39" s="32"/>
      <c r="F39" s="147"/>
      <c r="G39" s="33"/>
      <c r="H39" s="129"/>
      <c r="I39" s="29"/>
      <c r="J39" s="130"/>
      <c r="K39" s="129"/>
      <c r="L39" s="29"/>
      <c r="M39" s="130"/>
      <c r="N39" s="115"/>
      <c r="O39" s="115"/>
    </row>
    <row r="40" spans="1:15" s="25" customFormat="1" ht="22.5" x14ac:dyDescent="0.2">
      <c r="A40" s="581" t="s">
        <v>277</v>
      </c>
      <c r="B40" s="582" t="s">
        <v>30</v>
      </c>
      <c r="C40" s="583" t="s">
        <v>586</v>
      </c>
      <c r="D40" s="584" t="s">
        <v>984</v>
      </c>
      <c r="E40" s="583" t="s">
        <v>583</v>
      </c>
      <c r="F40" s="585">
        <v>10</v>
      </c>
      <c r="G40" s="586"/>
      <c r="H40" s="587"/>
      <c r="I40" s="588">
        <v>49.81</v>
      </c>
      <c r="J40" s="589">
        <f>H40+I40</f>
        <v>49.81</v>
      </c>
      <c r="K40" s="587">
        <f>H40*F40</f>
        <v>0</v>
      </c>
      <c r="L40" s="588">
        <f>I40*F40</f>
        <v>498.1</v>
      </c>
      <c r="M40" s="589">
        <f>K40+L40</f>
        <v>498.1</v>
      </c>
      <c r="N40" s="585">
        <f>M40*$N$7</f>
        <v>122.33336000000001</v>
      </c>
      <c r="O40" s="585">
        <f>ROUND(M40+N40,2)</f>
        <v>620.42999999999995</v>
      </c>
    </row>
    <row r="41" spans="1:15" s="356" customFormat="1" ht="11.25" x14ac:dyDescent="0.2">
      <c r="A41" s="359"/>
      <c r="B41" s="160"/>
      <c r="C41" s="31"/>
      <c r="D41" s="146" t="s">
        <v>288</v>
      </c>
      <c r="E41" s="32"/>
      <c r="F41" s="147"/>
      <c r="G41" s="33"/>
      <c r="H41" s="129"/>
      <c r="I41" s="29"/>
      <c r="J41" s="130"/>
      <c r="K41" s="129"/>
      <c r="L41" s="29"/>
      <c r="M41" s="130"/>
      <c r="N41" s="116"/>
      <c r="O41" s="436"/>
    </row>
    <row r="42" spans="1:15" s="356" customFormat="1" ht="11.25" x14ac:dyDescent="0.2">
      <c r="A42" s="402"/>
      <c r="B42" s="403"/>
      <c r="C42" s="404"/>
      <c r="D42" s="405" t="s">
        <v>435</v>
      </c>
      <c r="E42" s="406"/>
      <c r="F42" s="407"/>
      <c r="G42" s="408"/>
      <c r="H42" s="409"/>
      <c r="I42" s="410"/>
      <c r="J42" s="411"/>
      <c r="K42" s="409"/>
      <c r="L42" s="410"/>
      <c r="M42" s="411"/>
      <c r="N42" s="412"/>
      <c r="O42" s="412"/>
    </row>
    <row r="43" spans="1:15" s="25" customFormat="1" ht="8.25" customHeight="1" x14ac:dyDescent="0.2">
      <c r="A43" s="166"/>
      <c r="B43" s="161"/>
      <c r="C43" s="36"/>
      <c r="D43" s="146" t="s">
        <v>288</v>
      </c>
      <c r="E43" s="32"/>
      <c r="F43" s="147"/>
      <c r="G43" s="33"/>
      <c r="H43" s="129"/>
      <c r="I43" s="29"/>
      <c r="J43" s="130"/>
      <c r="K43" s="129"/>
      <c r="L43" s="29"/>
      <c r="M43" s="130"/>
      <c r="N43" s="115"/>
      <c r="O43" s="115"/>
    </row>
    <row r="44" spans="1:15" s="25" customFormat="1" ht="33.75" x14ac:dyDescent="0.2">
      <c r="A44" s="581" t="s">
        <v>277</v>
      </c>
      <c r="B44" s="582">
        <v>72229</v>
      </c>
      <c r="C44" s="583" t="s">
        <v>587</v>
      </c>
      <c r="D44" s="584" t="s">
        <v>908</v>
      </c>
      <c r="E44" s="583" t="s">
        <v>253</v>
      </c>
      <c r="F44" s="585">
        <f>32+10</f>
        <v>42</v>
      </c>
      <c r="G44" s="586"/>
      <c r="H44" s="587">
        <v>0</v>
      </c>
      <c r="I44" s="588">
        <v>12.45</v>
      </c>
      <c r="J44" s="589">
        <f>H44+I44</f>
        <v>12.45</v>
      </c>
      <c r="K44" s="587">
        <f>H44*F44</f>
        <v>0</v>
      </c>
      <c r="L44" s="588">
        <f>I44*F44</f>
        <v>522.9</v>
      </c>
      <c r="M44" s="589">
        <f>K44+L44</f>
        <v>522.9</v>
      </c>
      <c r="N44" s="585">
        <f>M44*$N$7</f>
        <v>128.42424</v>
      </c>
      <c r="O44" s="585">
        <f>ROUND(M44+N44,2)</f>
        <v>651.32000000000005</v>
      </c>
    </row>
    <row r="45" spans="1:15" s="356" customFormat="1" ht="11.25" x14ac:dyDescent="0.2">
      <c r="A45" s="359"/>
      <c r="B45" s="160"/>
      <c r="C45" s="31"/>
      <c r="D45" s="146" t="s">
        <v>288</v>
      </c>
      <c r="E45" s="32"/>
      <c r="F45" s="147"/>
      <c r="G45" s="33"/>
      <c r="H45" s="129"/>
      <c r="I45" s="29"/>
      <c r="J45" s="130"/>
      <c r="K45" s="129"/>
      <c r="L45" s="29"/>
      <c r="M45" s="130"/>
      <c r="N45" s="115"/>
      <c r="O45" s="358"/>
    </row>
    <row r="46" spans="1:15" s="25" customFormat="1" ht="22.5" x14ac:dyDescent="0.2">
      <c r="A46" s="581" t="s">
        <v>277</v>
      </c>
      <c r="B46" s="582">
        <v>72223</v>
      </c>
      <c r="C46" s="583" t="s">
        <v>588</v>
      </c>
      <c r="D46" s="584" t="s">
        <v>909</v>
      </c>
      <c r="E46" s="583" t="s">
        <v>253</v>
      </c>
      <c r="F46" s="585">
        <f>'MEMÓRIA DE CÁLCULO'!D9</f>
        <v>629.33500000000015</v>
      </c>
      <c r="G46" s="586"/>
      <c r="H46" s="587">
        <v>0</v>
      </c>
      <c r="I46" s="588">
        <v>13.84</v>
      </c>
      <c r="J46" s="589">
        <f>H46+I46</f>
        <v>13.84</v>
      </c>
      <c r="K46" s="587">
        <f>H46*F46</f>
        <v>0</v>
      </c>
      <c r="L46" s="588">
        <f>I46*F46</f>
        <v>8709.9964000000018</v>
      </c>
      <c r="M46" s="589">
        <f>K46+L46</f>
        <v>8709.9964000000018</v>
      </c>
      <c r="N46" s="585">
        <f>M46*$N$7</f>
        <v>2139.1751158400007</v>
      </c>
      <c r="O46" s="585">
        <f>ROUND(M46+N46,2)</f>
        <v>10849.17</v>
      </c>
    </row>
    <row r="47" spans="1:15" s="356" customFormat="1" ht="11.25" x14ac:dyDescent="0.2">
      <c r="A47" s="359"/>
      <c r="B47" s="160"/>
      <c r="C47" s="31"/>
      <c r="D47" s="146" t="s">
        <v>288</v>
      </c>
      <c r="E47" s="32"/>
      <c r="F47" s="147"/>
      <c r="G47" s="33"/>
      <c r="H47" s="129"/>
      <c r="I47" s="29"/>
      <c r="J47" s="130"/>
      <c r="K47" s="129"/>
      <c r="L47" s="29"/>
      <c r="M47" s="130"/>
      <c r="N47" s="115"/>
      <c r="O47" s="358"/>
    </row>
    <row r="48" spans="1:15" s="25" customFormat="1" ht="22.5" x14ac:dyDescent="0.2">
      <c r="A48" s="581" t="s">
        <v>277</v>
      </c>
      <c r="B48" s="582" t="s">
        <v>985</v>
      </c>
      <c r="C48" s="583" t="s">
        <v>931</v>
      </c>
      <c r="D48" s="584" t="s">
        <v>910</v>
      </c>
      <c r="E48" s="583" t="s">
        <v>183</v>
      </c>
      <c r="F48" s="585">
        <f>'MEMÓRIA DE CÁLCULO'!D7</f>
        <v>453</v>
      </c>
      <c r="G48" s="586"/>
      <c r="H48" s="587"/>
      <c r="I48" s="588">
        <v>6.22</v>
      </c>
      <c r="J48" s="589">
        <f>H48+I48</f>
        <v>6.22</v>
      </c>
      <c r="K48" s="587">
        <f>H48*F48</f>
        <v>0</v>
      </c>
      <c r="L48" s="588">
        <f>I48*F48</f>
        <v>2817.66</v>
      </c>
      <c r="M48" s="589">
        <f>K48+L48</f>
        <v>2817.66</v>
      </c>
      <c r="N48" s="585">
        <f>M48*$N$7</f>
        <v>692.01729599999999</v>
      </c>
      <c r="O48" s="585">
        <f>ROUND(M48+N48,2)</f>
        <v>3509.68</v>
      </c>
    </row>
    <row r="49" spans="1:15" s="356" customFormat="1" ht="11.25" x14ac:dyDescent="0.2">
      <c r="A49" s="359"/>
      <c r="B49" s="160"/>
      <c r="C49" s="31"/>
      <c r="D49" s="146" t="s">
        <v>288</v>
      </c>
      <c r="E49" s="32"/>
      <c r="F49" s="147"/>
      <c r="G49" s="33"/>
      <c r="H49" s="129"/>
      <c r="I49" s="29"/>
      <c r="J49" s="130"/>
      <c r="K49" s="129"/>
      <c r="L49" s="29"/>
      <c r="M49" s="130"/>
      <c r="N49" s="116"/>
      <c r="O49" s="436"/>
    </row>
    <row r="50" spans="1:15" s="25" customFormat="1" ht="22.5" x14ac:dyDescent="0.2">
      <c r="A50" s="581" t="s">
        <v>277</v>
      </c>
      <c r="B50" s="582">
        <v>85367</v>
      </c>
      <c r="C50" s="583" t="s">
        <v>589</v>
      </c>
      <c r="D50" s="584" t="s">
        <v>911</v>
      </c>
      <c r="E50" s="583" t="s">
        <v>183</v>
      </c>
      <c r="F50" s="585">
        <f>'MEMÓRIA DE CÁLCULO'!D8</f>
        <v>453</v>
      </c>
      <c r="G50" s="586"/>
      <c r="H50" s="587"/>
      <c r="I50" s="588">
        <v>13.18</v>
      </c>
      <c r="J50" s="589">
        <f>H50+I50</f>
        <v>13.18</v>
      </c>
      <c r="K50" s="587">
        <f>H50*F50</f>
        <v>0</v>
      </c>
      <c r="L50" s="588">
        <f>I50*F50</f>
        <v>5970.54</v>
      </c>
      <c r="M50" s="589">
        <f>K50+L50</f>
        <v>5970.54</v>
      </c>
      <c r="N50" s="585">
        <f>M50*$N$7</f>
        <v>1466.364624</v>
      </c>
      <c r="O50" s="585">
        <f>ROUND(M50+N50,2)</f>
        <v>7436.9</v>
      </c>
    </row>
    <row r="51" spans="1:15" s="356" customFormat="1" ht="11.25" x14ac:dyDescent="0.2">
      <c r="A51" s="359"/>
      <c r="B51" s="160"/>
      <c r="C51" s="31"/>
      <c r="D51" s="146"/>
      <c r="E51" s="32"/>
      <c r="F51" s="147"/>
      <c r="G51" s="33"/>
      <c r="H51" s="129"/>
      <c r="I51" s="29"/>
      <c r="J51" s="130"/>
      <c r="K51" s="129"/>
      <c r="L51" s="29"/>
      <c r="M51" s="130"/>
      <c r="N51" s="116"/>
      <c r="O51" s="436"/>
    </row>
    <row r="52" spans="1:15" s="25" customFormat="1" ht="22.5" x14ac:dyDescent="0.2">
      <c r="A52" s="581" t="s">
        <v>277</v>
      </c>
      <c r="B52" s="582">
        <v>85397</v>
      </c>
      <c r="C52" s="583" t="s">
        <v>590</v>
      </c>
      <c r="D52" s="584" t="s">
        <v>912</v>
      </c>
      <c r="E52" s="583" t="s">
        <v>183</v>
      </c>
      <c r="F52" s="585">
        <f>'MEMÓRIA DE CÁLCULO'!D11</f>
        <v>79.5</v>
      </c>
      <c r="G52" s="586"/>
      <c r="H52" s="587"/>
      <c r="I52" s="588">
        <v>18.7</v>
      </c>
      <c r="J52" s="589">
        <f>H52+I52</f>
        <v>18.7</v>
      </c>
      <c r="K52" s="587">
        <f>H52*F52</f>
        <v>0</v>
      </c>
      <c r="L52" s="588">
        <f>I52*F52</f>
        <v>1486.6499999999999</v>
      </c>
      <c r="M52" s="589">
        <f>K52+L52</f>
        <v>1486.6499999999999</v>
      </c>
      <c r="N52" s="585">
        <f>M52*$N$7</f>
        <v>365.12124</v>
      </c>
      <c r="O52" s="585">
        <f>ROUND(M52+N52,2)</f>
        <v>1851.77</v>
      </c>
    </row>
    <row r="53" spans="1:15" s="356" customFormat="1" ht="11.25" x14ac:dyDescent="0.2">
      <c r="A53" s="359"/>
      <c r="B53" s="160"/>
      <c r="C53" s="31"/>
      <c r="D53" s="146"/>
      <c r="E53" s="32"/>
      <c r="F53" s="147"/>
      <c r="G53" s="33"/>
      <c r="H53" s="129"/>
      <c r="I53" s="29"/>
      <c r="J53" s="130"/>
      <c r="K53" s="129"/>
      <c r="L53" s="29"/>
      <c r="M53" s="130"/>
      <c r="N53" s="116"/>
      <c r="O53" s="436"/>
    </row>
    <row r="54" spans="1:15" s="25" customFormat="1" ht="22.5" x14ac:dyDescent="0.2">
      <c r="A54" s="581" t="s">
        <v>277</v>
      </c>
      <c r="B54" s="582">
        <v>72215</v>
      </c>
      <c r="C54" s="583" t="s">
        <v>591</v>
      </c>
      <c r="D54" s="584" t="s">
        <v>913</v>
      </c>
      <c r="E54" s="583" t="s">
        <v>493</v>
      </c>
      <c r="F54" s="585">
        <f>'MEMÓRIA DE CÁLCULO'!D10+'MEMÓRIA DE CÁLCULO'!N151</f>
        <v>14.05875</v>
      </c>
      <c r="G54" s="586"/>
      <c r="H54" s="587">
        <v>0</v>
      </c>
      <c r="I54" s="588">
        <v>34.590000000000003</v>
      </c>
      <c r="J54" s="589">
        <f>H54+I54</f>
        <v>34.590000000000003</v>
      </c>
      <c r="K54" s="587">
        <f>H54*F54</f>
        <v>0</v>
      </c>
      <c r="L54" s="588">
        <f>I54*F54</f>
        <v>486.29216250000002</v>
      </c>
      <c r="M54" s="589">
        <f>K54+L54</f>
        <v>486.29216250000002</v>
      </c>
      <c r="N54" s="585">
        <f>M54*$N$7</f>
        <v>119.43335511000001</v>
      </c>
      <c r="O54" s="585">
        <f>ROUND(M54+N54,2)</f>
        <v>605.73</v>
      </c>
    </row>
    <row r="55" spans="1:15" s="356" customFormat="1" ht="11.25" x14ac:dyDescent="0.2">
      <c r="A55" s="359"/>
      <c r="B55" s="160"/>
      <c r="C55" s="31"/>
      <c r="D55" s="146" t="s">
        <v>288</v>
      </c>
      <c r="E55" s="32"/>
      <c r="F55" s="147"/>
      <c r="G55" s="33"/>
      <c r="H55" s="129"/>
      <c r="I55" s="29"/>
      <c r="J55" s="130"/>
      <c r="K55" s="129"/>
      <c r="L55" s="29"/>
      <c r="M55" s="130"/>
      <c r="N55" s="115"/>
      <c r="O55" s="358"/>
    </row>
    <row r="56" spans="1:15" s="25" customFormat="1" ht="22.5" x14ac:dyDescent="0.2">
      <c r="A56" s="581" t="s">
        <v>277</v>
      </c>
      <c r="B56" s="582">
        <v>85397</v>
      </c>
      <c r="C56" s="583" t="s">
        <v>592</v>
      </c>
      <c r="D56" s="584" t="s">
        <v>914</v>
      </c>
      <c r="E56" s="583" t="s">
        <v>253</v>
      </c>
      <c r="F56" s="585">
        <f>'MEMÓRIA DE CÁLCULO'!D12*2.1*0.9</f>
        <v>9.4500000000000011</v>
      </c>
      <c r="G56" s="586"/>
      <c r="H56" s="587"/>
      <c r="I56" s="588">
        <v>18.7</v>
      </c>
      <c r="J56" s="589">
        <f>H56+I56</f>
        <v>18.7</v>
      </c>
      <c r="K56" s="587">
        <f>H56*F56</f>
        <v>0</v>
      </c>
      <c r="L56" s="588">
        <f>I56*F56</f>
        <v>176.715</v>
      </c>
      <c r="M56" s="589">
        <f>K56+L56</f>
        <v>176.715</v>
      </c>
      <c r="N56" s="585">
        <f>M56*$N$7</f>
        <v>43.401204</v>
      </c>
      <c r="O56" s="585">
        <f>ROUND(M56+N56,2)</f>
        <v>220.12</v>
      </c>
    </row>
    <row r="57" spans="1:15" s="356" customFormat="1" ht="11.25" x14ac:dyDescent="0.2">
      <c r="A57" s="359"/>
      <c r="B57" s="160"/>
      <c r="C57" s="31"/>
      <c r="D57" s="146" t="s">
        <v>288</v>
      </c>
      <c r="E57" s="32"/>
      <c r="F57" s="147"/>
      <c r="G57" s="33"/>
      <c r="H57" s="129"/>
      <c r="I57" s="29"/>
      <c r="J57" s="130"/>
      <c r="K57" s="129"/>
      <c r="L57" s="29"/>
      <c r="M57" s="130"/>
      <c r="N57" s="116"/>
      <c r="O57" s="436"/>
    </row>
    <row r="58" spans="1:15" s="25" customFormat="1" ht="33.75" x14ac:dyDescent="0.2">
      <c r="A58" s="581" t="s">
        <v>277</v>
      </c>
      <c r="B58" s="582" t="s">
        <v>494</v>
      </c>
      <c r="C58" s="583" t="s">
        <v>593</v>
      </c>
      <c r="D58" s="584" t="s">
        <v>915</v>
      </c>
      <c r="E58" s="583" t="s">
        <v>183</v>
      </c>
      <c r="F58" s="585">
        <f>'MEMÓRIA DE CÁLCULO'!D125</f>
        <v>139.19999999999999</v>
      </c>
      <c r="G58" s="586"/>
      <c r="H58" s="587"/>
      <c r="I58" s="588">
        <v>1.41</v>
      </c>
      <c r="J58" s="589">
        <f>H58+I58</f>
        <v>1.41</v>
      </c>
      <c r="K58" s="587">
        <f>H58*F58</f>
        <v>0</v>
      </c>
      <c r="L58" s="588">
        <f>I58*F58</f>
        <v>196.27199999999996</v>
      </c>
      <c r="M58" s="589">
        <f>K58+L58</f>
        <v>196.27199999999996</v>
      </c>
      <c r="N58" s="585">
        <f>M58*$N$7</f>
        <v>48.204403199999994</v>
      </c>
      <c r="O58" s="585">
        <f>ROUND(M58+N58,2)</f>
        <v>244.48</v>
      </c>
    </row>
    <row r="59" spans="1:15" s="356" customFormat="1" ht="11.25" x14ac:dyDescent="0.2">
      <c r="A59" s="357"/>
      <c r="B59" s="159"/>
      <c r="C59" s="34"/>
      <c r="D59" s="153"/>
      <c r="E59" s="34"/>
      <c r="F59" s="148"/>
      <c r="G59" s="35"/>
      <c r="H59" s="131"/>
      <c r="I59" s="30"/>
      <c r="J59" s="132"/>
      <c r="K59" s="131"/>
      <c r="L59" s="30"/>
      <c r="M59" s="132"/>
      <c r="N59" s="115"/>
      <c r="O59" s="358"/>
    </row>
    <row r="60" spans="1:15" s="25" customFormat="1" ht="22.5" x14ac:dyDescent="0.2">
      <c r="A60" s="581"/>
      <c r="B60" s="582" t="s">
        <v>247</v>
      </c>
      <c r="C60" s="583" t="s">
        <v>594</v>
      </c>
      <c r="D60" s="584" t="s">
        <v>916</v>
      </c>
      <c r="E60" s="583" t="s">
        <v>338</v>
      </c>
      <c r="F60" s="585">
        <f>'MEMÓRIA DE CÁLCULO'!D13</f>
        <v>50</v>
      </c>
      <c r="G60" s="586"/>
      <c r="H60" s="588">
        <f>ROUND(SUM(H61:H61),2)</f>
        <v>0</v>
      </c>
      <c r="I60" s="588">
        <f>ROUND(SUM(I61:I61),2)</f>
        <v>2.68</v>
      </c>
      <c r="J60" s="589">
        <f>H60+I60</f>
        <v>2.68</v>
      </c>
      <c r="K60" s="587">
        <f>H60*F60</f>
        <v>0</v>
      </c>
      <c r="L60" s="588">
        <f>I60*F60</f>
        <v>134</v>
      </c>
      <c r="M60" s="589">
        <f>K60+L60</f>
        <v>134</v>
      </c>
      <c r="N60" s="585">
        <f>M60*$N$7</f>
        <v>32.910400000000003</v>
      </c>
      <c r="O60" s="585">
        <f>ROUND(M60+N60,2)</f>
        <v>166.91</v>
      </c>
    </row>
    <row r="61" spans="1:15" s="356" customFormat="1" ht="11.25" x14ac:dyDescent="0.2">
      <c r="A61" s="359"/>
      <c r="B61" s="160"/>
      <c r="C61" s="31"/>
      <c r="D61" s="146" t="s">
        <v>207</v>
      </c>
      <c r="E61" s="149" t="s">
        <v>229</v>
      </c>
      <c r="F61" s="147">
        <v>0.3</v>
      </c>
      <c r="G61" s="435">
        <v>8.92</v>
      </c>
      <c r="H61" s="129"/>
      <c r="I61" s="35">
        <f>F61*G61</f>
        <v>2.6759999999999997</v>
      </c>
      <c r="J61" s="130"/>
      <c r="K61" s="129"/>
      <c r="L61" s="29"/>
      <c r="M61" s="130"/>
      <c r="N61" s="116"/>
      <c r="O61" s="436"/>
    </row>
    <row r="62" spans="1:15" s="25" customFormat="1" ht="14.25" x14ac:dyDescent="0.2">
      <c r="A62" s="166"/>
      <c r="B62" s="160"/>
      <c r="C62" s="31"/>
      <c r="D62" s="146"/>
      <c r="E62" s="32"/>
      <c r="F62" s="147"/>
      <c r="G62" s="33"/>
      <c r="H62" s="129"/>
      <c r="I62" s="29"/>
      <c r="J62" s="130"/>
      <c r="K62" s="129"/>
      <c r="L62" s="29"/>
      <c r="M62" s="130"/>
      <c r="N62" s="115"/>
      <c r="O62" s="115"/>
    </row>
    <row r="63" spans="1:15" s="25" customFormat="1" ht="22.5" x14ac:dyDescent="0.2">
      <c r="A63" s="581"/>
      <c r="B63" s="582" t="s">
        <v>247</v>
      </c>
      <c r="C63" s="583" t="s">
        <v>595</v>
      </c>
      <c r="D63" s="584" t="s">
        <v>917</v>
      </c>
      <c r="E63" s="583" t="s">
        <v>183</v>
      </c>
      <c r="F63" s="585">
        <f>'MEMÓRIA DE CÁLCULO'!D15</f>
        <v>13</v>
      </c>
      <c r="G63" s="586"/>
      <c r="H63" s="588">
        <f>ROUND(SUM(H64:H64),2)</f>
        <v>0</v>
      </c>
      <c r="I63" s="588">
        <f>ROUND(SUM(I64:I64),2)</f>
        <v>8.92</v>
      </c>
      <c r="J63" s="589">
        <f>H63+I63</f>
        <v>8.92</v>
      </c>
      <c r="K63" s="587">
        <f>H63*F63</f>
        <v>0</v>
      </c>
      <c r="L63" s="588">
        <f>I63*F63</f>
        <v>115.96</v>
      </c>
      <c r="M63" s="589">
        <f>K63+L63</f>
        <v>115.96</v>
      </c>
      <c r="N63" s="585">
        <f>M63*$N$7</f>
        <v>28.479776000000001</v>
      </c>
      <c r="O63" s="585">
        <f>ROUND(M63+N63,2)</f>
        <v>144.44</v>
      </c>
    </row>
    <row r="64" spans="1:15" s="356" customFormat="1" ht="11.25" x14ac:dyDescent="0.2">
      <c r="A64" s="359"/>
      <c r="B64" s="160"/>
      <c r="C64" s="31"/>
      <c r="D64" s="146" t="s">
        <v>207</v>
      </c>
      <c r="E64" s="149" t="s">
        <v>229</v>
      </c>
      <c r="F64" s="147">
        <v>1</v>
      </c>
      <c r="G64" s="435">
        <v>8.92</v>
      </c>
      <c r="H64" s="129"/>
      <c r="I64" s="35">
        <f>F64*G64</f>
        <v>8.92</v>
      </c>
      <c r="J64" s="130"/>
      <c r="K64" s="129"/>
      <c r="L64" s="29"/>
      <c r="M64" s="130"/>
      <c r="N64" s="116"/>
      <c r="O64" s="436"/>
    </row>
    <row r="65" spans="1:15" s="25" customFormat="1" ht="14.25" x14ac:dyDescent="0.2">
      <c r="A65" s="166"/>
      <c r="B65" s="160"/>
      <c r="C65" s="31"/>
      <c r="D65" s="146"/>
      <c r="E65" s="32"/>
      <c r="F65" s="147"/>
      <c r="G65" s="33"/>
      <c r="H65" s="129"/>
      <c r="I65" s="29"/>
      <c r="J65" s="130"/>
      <c r="K65" s="129"/>
      <c r="L65" s="29"/>
      <c r="M65" s="130"/>
      <c r="N65" s="115"/>
      <c r="O65" s="115"/>
    </row>
    <row r="66" spans="1:15" s="25" customFormat="1" ht="14.25" x14ac:dyDescent="0.2">
      <c r="A66" s="581" t="s">
        <v>278</v>
      </c>
      <c r="B66" s="582">
        <v>2002000009</v>
      </c>
      <c r="C66" s="583" t="s">
        <v>596</v>
      </c>
      <c r="D66" s="584" t="s">
        <v>918</v>
      </c>
      <c r="E66" s="583" t="s">
        <v>183</v>
      </c>
      <c r="F66" s="585">
        <f>'MEMÓRIA DE CÁLCULO'!D14</f>
        <v>12</v>
      </c>
      <c r="G66" s="586"/>
      <c r="H66" s="588">
        <f>ROUND(SUM(H67:H67),2)</f>
        <v>0</v>
      </c>
      <c r="I66" s="588">
        <f>ROUND(SUM(I67:I68),2)</f>
        <v>20.76</v>
      </c>
      <c r="J66" s="589">
        <f>H66+I66</f>
        <v>20.76</v>
      </c>
      <c r="K66" s="587">
        <f>H66*F66</f>
        <v>0</v>
      </c>
      <c r="L66" s="588">
        <f>I66*F66</f>
        <v>249.12</v>
      </c>
      <c r="M66" s="589">
        <f>K66+L66</f>
        <v>249.12</v>
      </c>
      <c r="N66" s="585">
        <f>M66*$N$7</f>
        <v>61.183872000000001</v>
      </c>
      <c r="O66" s="585">
        <f>ROUND(M66+N66,2)</f>
        <v>310.3</v>
      </c>
    </row>
    <row r="67" spans="1:15" s="356" customFormat="1" ht="11.25" x14ac:dyDescent="0.2">
      <c r="A67" s="359"/>
      <c r="B67" s="160"/>
      <c r="C67" s="31"/>
      <c r="D67" s="146" t="s">
        <v>250</v>
      </c>
      <c r="E67" s="149" t="s">
        <v>229</v>
      </c>
      <c r="F67" s="147">
        <v>1.2</v>
      </c>
      <c r="G67" s="435">
        <v>8.92</v>
      </c>
      <c r="H67" s="129"/>
      <c r="I67" s="35">
        <f>F67*G67</f>
        <v>10.703999999999999</v>
      </c>
      <c r="J67" s="130"/>
      <c r="K67" s="129"/>
      <c r="L67" s="29"/>
      <c r="M67" s="130"/>
      <c r="N67" s="116"/>
      <c r="O67" s="436"/>
    </row>
    <row r="68" spans="1:15" s="356" customFormat="1" ht="11.25" x14ac:dyDescent="0.2">
      <c r="A68" s="359"/>
      <c r="B68" s="160"/>
      <c r="C68" s="31"/>
      <c r="D68" s="146" t="s">
        <v>577</v>
      </c>
      <c r="E68" s="149" t="s">
        <v>229</v>
      </c>
      <c r="F68" s="147">
        <v>0.8</v>
      </c>
      <c r="G68" s="435">
        <v>12.57</v>
      </c>
      <c r="H68" s="129"/>
      <c r="I68" s="35">
        <f>F68*G68</f>
        <v>10.056000000000001</v>
      </c>
      <c r="J68" s="130"/>
      <c r="K68" s="129"/>
      <c r="L68" s="29"/>
      <c r="M68" s="130"/>
      <c r="N68" s="116"/>
      <c r="O68" s="436"/>
    </row>
    <row r="69" spans="1:15" s="356" customFormat="1" ht="11.25" x14ac:dyDescent="0.2">
      <c r="A69" s="359"/>
      <c r="B69" s="160"/>
      <c r="C69" s="31"/>
      <c r="D69" s="146" t="s">
        <v>288</v>
      </c>
      <c r="E69" s="32"/>
      <c r="F69" s="147"/>
      <c r="G69" s="33"/>
      <c r="H69" s="129"/>
      <c r="I69" s="29"/>
      <c r="J69" s="130"/>
      <c r="K69" s="129"/>
      <c r="L69" s="29"/>
      <c r="M69" s="130"/>
      <c r="N69" s="116"/>
      <c r="O69" s="436"/>
    </row>
    <row r="70" spans="1:15" s="25" customFormat="1" ht="22.5" x14ac:dyDescent="0.2">
      <c r="A70" s="581" t="s">
        <v>277</v>
      </c>
      <c r="B70" s="582">
        <v>73616</v>
      </c>
      <c r="C70" s="583" t="s">
        <v>597</v>
      </c>
      <c r="D70" s="584" t="s">
        <v>919</v>
      </c>
      <c r="E70" s="583" t="s">
        <v>493</v>
      </c>
      <c r="F70" s="585">
        <f>'MEMÓRIA DE CÁLCULO'!D16</f>
        <v>0.9</v>
      </c>
      <c r="G70" s="586"/>
      <c r="H70" s="587">
        <v>0</v>
      </c>
      <c r="I70" s="588">
        <v>202.61</v>
      </c>
      <c r="J70" s="589">
        <f>H70+I70</f>
        <v>202.61</v>
      </c>
      <c r="K70" s="587">
        <f>H70*F70</f>
        <v>0</v>
      </c>
      <c r="L70" s="588">
        <f>I70*F70</f>
        <v>182.34900000000002</v>
      </c>
      <c r="M70" s="589">
        <f>K70+L70</f>
        <v>182.34900000000002</v>
      </c>
      <c r="N70" s="585">
        <f>M70*$N$7</f>
        <v>44.784914400000005</v>
      </c>
      <c r="O70" s="585">
        <f>ROUND(M70+N70,2)</f>
        <v>227.13</v>
      </c>
    </row>
    <row r="71" spans="1:15" s="356" customFormat="1" ht="11.25" x14ac:dyDescent="0.2">
      <c r="A71" s="359"/>
      <c r="B71" s="160"/>
      <c r="C71" s="31"/>
      <c r="D71" s="146" t="s">
        <v>288</v>
      </c>
      <c r="E71" s="32"/>
      <c r="F71" s="147"/>
      <c r="G71" s="33"/>
      <c r="H71" s="129"/>
      <c r="I71" s="29"/>
      <c r="J71" s="130"/>
      <c r="K71" s="129"/>
      <c r="L71" s="29"/>
      <c r="M71" s="130"/>
      <c r="N71" s="115"/>
      <c r="O71" s="358"/>
    </row>
    <row r="72" spans="1:15" s="25" customFormat="1" ht="22.5" x14ac:dyDescent="0.2">
      <c r="A72" s="581"/>
      <c r="B72" s="582" t="s">
        <v>247</v>
      </c>
      <c r="C72" s="583" t="s">
        <v>598</v>
      </c>
      <c r="D72" s="584" t="s">
        <v>920</v>
      </c>
      <c r="E72" s="583" t="s">
        <v>253</v>
      </c>
      <c r="F72" s="585">
        <f>'MEMÓRIA DE CÁLCULO'!D17</f>
        <v>22.200000000000003</v>
      </c>
      <c r="G72" s="586"/>
      <c r="H72" s="588">
        <f>ROUND(SUM(H73:H73),2)</f>
        <v>0</v>
      </c>
      <c r="I72" s="588">
        <f>ROUND(SUM(I73:I74),2)</f>
        <v>10.75</v>
      </c>
      <c r="J72" s="589">
        <f>H72+I72</f>
        <v>10.75</v>
      </c>
      <c r="K72" s="587">
        <f>H72*F72</f>
        <v>0</v>
      </c>
      <c r="L72" s="588">
        <f>I72*F72</f>
        <v>238.65000000000003</v>
      </c>
      <c r="M72" s="589">
        <f>K72+L72</f>
        <v>238.65000000000003</v>
      </c>
      <c r="N72" s="585">
        <f>M72*$N$7</f>
        <v>58.612440000000014</v>
      </c>
      <c r="O72" s="585">
        <f>ROUND(M72+N72,2)</f>
        <v>297.26</v>
      </c>
    </row>
    <row r="73" spans="1:15" s="356" customFormat="1" ht="11.25" x14ac:dyDescent="0.2">
      <c r="A73" s="359"/>
      <c r="B73" s="160"/>
      <c r="C73" s="31"/>
      <c r="D73" s="146" t="s">
        <v>243</v>
      </c>
      <c r="E73" s="149" t="s">
        <v>229</v>
      </c>
      <c r="F73" s="147">
        <v>0.5</v>
      </c>
      <c r="G73" s="435">
        <v>12.57</v>
      </c>
      <c r="H73" s="129"/>
      <c r="I73" s="35">
        <f>F73*G73</f>
        <v>6.2850000000000001</v>
      </c>
      <c r="J73" s="130"/>
      <c r="K73" s="129"/>
      <c r="L73" s="29"/>
      <c r="M73" s="130"/>
      <c r="N73" s="116"/>
      <c r="O73" s="436"/>
    </row>
    <row r="74" spans="1:15" s="356" customFormat="1" ht="11.25" x14ac:dyDescent="0.2">
      <c r="A74" s="359"/>
      <c r="B74" s="160"/>
      <c r="C74" s="31"/>
      <c r="D74" s="146" t="s">
        <v>207</v>
      </c>
      <c r="E74" s="149" t="s">
        <v>229</v>
      </c>
      <c r="F74" s="147">
        <v>0.5</v>
      </c>
      <c r="G74" s="435">
        <v>8.92</v>
      </c>
      <c r="H74" s="129"/>
      <c r="I74" s="35">
        <f>F74*G74</f>
        <v>4.46</v>
      </c>
      <c r="J74" s="130"/>
      <c r="K74" s="129"/>
      <c r="L74" s="29"/>
      <c r="M74" s="130"/>
      <c r="N74" s="116"/>
      <c r="O74" s="436"/>
    </row>
    <row r="75" spans="1:15" s="356" customFormat="1" ht="11.25" x14ac:dyDescent="0.2">
      <c r="A75" s="359"/>
      <c r="B75" s="160"/>
      <c r="C75" s="31"/>
      <c r="D75" s="146" t="s">
        <v>288</v>
      </c>
      <c r="E75" s="32"/>
      <c r="F75" s="147"/>
      <c r="G75" s="33"/>
      <c r="H75" s="129"/>
      <c r="I75" s="29"/>
      <c r="J75" s="130"/>
      <c r="K75" s="129"/>
      <c r="L75" s="29"/>
      <c r="M75" s="130"/>
      <c r="N75" s="116"/>
      <c r="O75" s="436"/>
    </row>
    <row r="76" spans="1:15" s="25" customFormat="1" ht="14.25" x14ac:dyDescent="0.2">
      <c r="A76" s="581" t="s">
        <v>277</v>
      </c>
      <c r="B76" s="582">
        <v>85383</v>
      </c>
      <c r="C76" s="583" t="s">
        <v>599</v>
      </c>
      <c r="D76" s="584" t="s">
        <v>921</v>
      </c>
      <c r="E76" s="583" t="s">
        <v>248</v>
      </c>
      <c r="F76" s="585">
        <f>'MEMÓRIA DE CÁLCULO'!D19</f>
        <v>13</v>
      </c>
      <c r="G76" s="586"/>
      <c r="H76" s="587">
        <v>0</v>
      </c>
      <c r="I76" s="588">
        <v>2.76</v>
      </c>
      <c r="J76" s="589">
        <f>H76+I76</f>
        <v>2.76</v>
      </c>
      <c r="K76" s="587">
        <f>H76*F76</f>
        <v>0</v>
      </c>
      <c r="L76" s="588">
        <f>I76*F76</f>
        <v>35.879999999999995</v>
      </c>
      <c r="M76" s="589">
        <f>K76+L76</f>
        <v>35.879999999999995</v>
      </c>
      <c r="N76" s="585">
        <f>M76*$N$7</f>
        <v>8.8121279999999995</v>
      </c>
      <c r="O76" s="585">
        <f>ROUND(M76+N76,2)</f>
        <v>44.69</v>
      </c>
    </row>
    <row r="77" spans="1:15" s="356" customFormat="1" ht="11.25" x14ac:dyDescent="0.2">
      <c r="A77" s="359"/>
      <c r="B77" s="160"/>
      <c r="C77" s="31"/>
      <c r="D77" s="146" t="s">
        <v>288</v>
      </c>
      <c r="E77" s="32"/>
      <c r="F77" s="147"/>
      <c r="G77" s="33"/>
      <c r="H77" s="129"/>
      <c r="I77" s="29"/>
      <c r="J77" s="130"/>
      <c r="K77" s="129"/>
      <c r="L77" s="29"/>
      <c r="M77" s="130"/>
      <c r="N77" s="115"/>
      <c r="O77" s="358"/>
    </row>
    <row r="78" spans="1:15" s="25" customFormat="1" ht="14.25" x14ac:dyDescent="0.2">
      <c r="A78" s="581" t="s">
        <v>277</v>
      </c>
      <c r="B78" s="582">
        <v>85383</v>
      </c>
      <c r="C78" s="583" t="s">
        <v>600</v>
      </c>
      <c r="D78" s="590" t="s">
        <v>31</v>
      </c>
      <c r="E78" s="583" t="s">
        <v>248</v>
      </c>
      <c r="F78" s="585">
        <f>'MEMÓRIA DE CÁLCULO'!D20</f>
        <v>63</v>
      </c>
      <c r="G78" s="586"/>
      <c r="H78" s="587">
        <v>0</v>
      </c>
      <c r="I78" s="588">
        <v>2.76</v>
      </c>
      <c r="J78" s="589">
        <f>H78+I78</f>
        <v>2.76</v>
      </c>
      <c r="K78" s="587">
        <f>H78*F78</f>
        <v>0</v>
      </c>
      <c r="L78" s="588">
        <f>I78*F78</f>
        <v>173.88</v>
      </c>
      <c r="M78" s="589">
        <f>K78+L78</f>
        <v>173.88</v>
      </c>
      <c r="N78" s="585">
        <f>M78*$N$7</f>
        <v>42.704928000000002</v>
      </c>
      <c r="O78" s="585">
        <f>ROUND(M78+N78,2)</f>
        <v>216.58</v>
      </c>
    </row>
    <row r="79" spans="1:15" s="356" customFormat="1" ht="11.25" x14ac:dyDescent="0.2">
      <c r="A79" s="359"/>
      <c r="B79" s="160"/>
      <c r="C79" s="31"/>
      <c r="D79" s="146" t="s">
        <v>288</v>
      </c>
      <c r="E79" s="32"/>
      <c r="F79" s="147"/>
      <c r="G79" s="33"/>
      <c r="H79" s="129"/>
      <c r="I79" s="29"/>
      <c r="J79" s="130"/>
      <c r="K79" s="129"/>
      <c r="L79" s="29"/>
      <c r="M79" s="130"/>
      <c r="N79" s="115"/>
      <c r="O79" s="358"/>
    </row>
    <row r="80" spans="1:15" s="25" customFormat="1" ht="22.5" x14ac:dyDescent="0.2">
      <c r="A80" s="581" t="s">
        <v>277</v>
      </c>
      <c r="B80" s="582">
        <v>73616</v>
      </c>
      <c r="C80" s="583" t="s">
        <v>601</v>
      </c>
      <c r="D80" s="584" t="s">
        <v>922</v>
      </c>
      <c r="E80" s="583" t="s">
        <v>493</v>
      </c>
      <c r="F80" s="585">
        <f>0.7*0.7*0.7</f>
        <v>0.34299999999999992</v>
      </c>
      <c r="G80" s="586"/>
      <c r="H80" s="587">
        <v>0</v>
      </c>
      <c r="I80" s="588">
        <v>202.61</v>
      </c>
      <c r="J80" s="589">
        <f>H80+I80</f>
        <v>202.61</v>
      </c>
      <c r="K80" s="587">
        <f>H80*F80</f>
        <v>0</v>
      </c>
      <c r="L80" s="588">
        <f>I80*F80</f>
        <v>69.495229999999992</v>
      </c>
      <c r="M80" s="589">
        <f>K80+L80</f>
        <v>69.495229999999992</v>
      </c>
      <c r="N80" s="585">
        <f>M80*$N$7</f>
        <v>17.068028487999999</v>
      </c>
      <c r="O80" s="585">
        <f>ROUND(M80+N80,2)</f>
        <v>86.56</v>
      </c>
    </row>
    <row r="81" spans="1:15" s="356" customFormat="1" ht="11.25" x14ac:dyDescent="0.2">
      <c r="A81" s="359"/>
      <c r="B81" s="160"/>
      <c r="C81" s="31"/>
      <c r="D81" s="146" t="s">
        <v>288</v>
      </c>
      <c r="E81" s="32"/>
      <c r="F81" s="147"/>
      <c r="G81" s="33"/>
      <c r="H81" s="129"/>
      <c r="I81" s="29"/>
      <c r="J81" s="130"/>
      <c r="K81" s="129"/>
      <c r="L81" s="29"/>
      <c r="M81" s="130"/>
      <c r="N81" s="115"/>
      <c r="O81" s="358"/>
    </row>
    <row r="82" spans="1:15" s="356" customFormat="1" ht="11.25" x14ac:dyDescent="0.2">
      <c r="A82" s="424"/>
      <c r="B82" s="425"/>
      <c r="C82" s="426"/>
      <c r="D82" s="427" t="s">
        <v>436</v>
      </c>
      <c r="E82" s="428"/>
      <c r="F82" s="429"/>
      <c r="G82" s="430"/>
      <c r="H82" s="431"/>
      <c r="I82" s="432"/>
      <c r="J82" s="433"/>
      <c r="K82" s="431"/>
      <c r="L82" s="432"/>
      <c r="M82" s="433"/>
      <c r="N82" s="434"/>
      <c r="O82" s="434"/>
    </row>
    <row r="83" spans="1:15" s="25" customFormat="1" ht="8.25" customHeight="1" x14ac:dyDescent="0.2">
      <c r="A83" s="166"/>
      <c r="B83" s="161"/>
      <c r="C83" s="36"/>
      <c r="D83" s="146" t="s">
        <v>288</v>
      </c>
      <c r="E83" s="32"/>
      <c r="F83" s="147"/>
      <c r="G83" s="33"/>
      <c r="H83" s="129"/>
      <c r="I83" s="29"/>
      <c r="J83" s="130"/>
      <c r="K83" s="129"/>
      <c r="L83" s="29"/>
      <c r="M83" s="130"/>
      <c r="N83" s="115"/>
      <c r="O83" s="115"/>
    </row>
    <row r="84" spans="1:15" s="25" customFormat="1" ht="22.5" x14ac:dyDescent="0.2">
      <c r="A84" s="581" t="s">
        <v>277</v>
      </c>
      <c r="B84" s="582">
        <v>72223</v>
      </c>
      <c r="C84" s="583" t="s">
        <v>932</v>
      </c>
      <c r="D84" s="584" t="s">
        <v>923</v>
      </c>
      <c r="E84" s="583" t="s">
        <v>253</v>
      </c>
      <c r="F84" s="585">
        <f>'MEMÓRIA DE CÁLCULO'!I9</f>
        <v>67.050000000000011</v>
      </c>
      <c r="G84" s="586"/>
      <c r="H84" s="587">
        <v>0</v>
      </c>
      <c r="I84" s="588">
        <v>13.84</v>
      </c>
      <c r="J84" s="589">
        <f>H84+I84</f>
        <v>13.84</v>
      </c>
      <c r="K84" s="587">
        <f>H84*F84</f>
        <v>0</v>
      </c>
      <c r="L84" s="588">
        <f>I84*F84</f>
        <v>927.97200000000009</v>
      </c>
      <c r="M84" s="589">
        <f>K84+L84</f>
        <v>927.97200000000009</v>
      </c>
      <c r="N84" s="585">
        <f>M84*$N$7</f>
        <v>227.90992320000004</v>
      </c>
      <c r="O84" s="585">
        <f>ROUND(M84+N84,2)</f>
        <v>1155.8800000000001</v>
      </c>
    </row>
    <row r="85" spans="1:15" s="356" customFormat="1" ht="11.25" x14ac:dyDescent="0.2">
      <c r="A85" s="359"/>
      <c r="B85" s="160"/>
      <c r="C85" s="31"/>
      <c r="D85" s="146" t="s">
        <v>288</v>
      </c>
      <c r="E85" s="32"/>
      <c r="F85" s="147"/>
      <c r="G85" s="33"/>
      <c r="H85" s="129"/>
      <c r="I85" s="29"/>
      <c r="J85" s="130"/>
      <c r="K85" s="129"/>
      <c r="L85" s="29"/>
      <c r="M85" s="130"/>
      <c r="N85" s="115"/>
      <c r="O85" s="358"/>
    </row>
    <row r="86" spans="1:15" s="25" customFormat="1" ht="22.5" x14ac:dyDescent="0.2">
      <c r="A86" s="581" t="s">
        <v>277</v>
      </c>
      <c r="B86" s="582" t="s">
        <v>985</v>
      </c>
      <c r="C86" s="583" t="s">
        <v>602</v>
      </c>
      <c r="D86" s="584" t="s">
        <v>910</v>
      </c>
      <c r="E86" s="583" t="s">
        <v>183</v>
      </c>
      <c r="F86" s="585">
        <f>'MEMÓRIA DE CÁLCULO'!I7</f>
        <v>456</v>
      </c>
      <c r="G86" s="586"/>
      <c r="H86" s="587"/>
      <c r="I86" s="588">
        <v>6.22</v>
      </c>
      <c r="J86" s="589">
        <f>H86+I86</f>
        <v>6.22</v>
      </c>
      <c r="K86" s="587">
        <f>H86*F86</f>
        <v>0</v>
      </c>
      <c r="L86" s="588">
        <f>I86*F86</f>
        <v>2836.3199999999997</v>
      </c>
      <c r="M86" s="589">
        <f>K86+L86</f>
        <v>2836.3199999999997</v>
      </c>
      <c r="N86" s="585">
        <f>M86*$N$7</f>
        <v>696.60019199999999</v>
      </c>
      <c r="O86" s="585">
        <f>ROUND(M86+N86,2)</f>
        <v>3532.92</v>
      </c>
    </row>
    <row r="87" spans="1:15" s="356" customFormat="1" ht="11.25" x14ac:dyDescent="0.2">
      <c r="A87" s="359"/>
      <c r="B87" s="160"/>
      <c r="C87" s="31"/>
      <c r="D87" s="146" t="s">
        <v>288</v>
      </c>
      <c r="E87" s="32"/>
      <c r="F87" s="147"/>
      <c r="G87" s="33"/>
      <c r="H87" s="129"/>
      <c r="I87" s="29"/>
      <c r="J87" s="130"/>
      <c r="K87" s="129"/>
      <c r="L87" s="29"/>
      <c r="M87" s="130"/>
      <c r="N87" s="116"/>
      <c r="O87" s="436"/>
    </row>
    <row r="88" spans="1:15" s="25" customFormat="1" ht="22.5" x14ac:dyDescent="0.2">
      <c r="A88" s="581" t="s">
        <v>277</v>
      </c>
      <c r="B88" s="582">
        <v>85367</v>
      </c>
      <c r="C88" s="583" t="s">
        <v>603</v>
      </c>
      <c r="D88" s="584" t="s">
        <v>924</v>
      </c>
      <c r="E88" s="583" t="s">
        <v>183</v>
      </c>
      <c r="F88" s="585">
        <f>'MEMÓRIA DE CÁLCULO'!I8</f>
        <v>456</v>
      </c>
      <c r="G88" s="586"/>
      <c r="H88" s="587"/>
      <c r="I88" s="588">
        <v>13.18</v>
      </c>
      <c r="J88" s="589">
        <f>H88+I88</f>
        <v>13.18</v>
      </c>
      <c r="K88" s="587">
        <f>H88*F88</f>
        <v>0</v>
      </c>
      <c r="L88" s="588">
        <f>I88*F88</f>
        <v>6010.08</v>
      </c>
      <c r="M88" s="589">
        <f>K88+L88</f>
        <v>6010.08</v>
      </c>
      <c r="N88" s="585">
        <f>M88*$N$7</f>
        <v>1476.075648</v>
      </c>
      <c r="O88" s="585">
        <f>ROUND(M88+N88,2)</f>
        <v>7486.16</v>
      </c>
    </row>
    <row r="89" spans="1:15" s="356" customFormat="1" ht="11.25" x14ac:dyDescent="0.2">
      <c r="A89" s="359"/>
      <c r="B89" s="160"/>
      <c r="C89" s="31"/>
      <c r="D89" s="146"/>
      <c r="E89" s="32"/>
      <c r="F89" s="147"/>
      <c r="G89" s="33"/>
      <c r="H89" s="129"/>
      <c r="I89" s="29"/>
      <c r="J89" s="130"/>
      <c r="K89" s="129"/>
      <c r="L89" s="29"/>
      <c r="M89" s="130"/>
      <c r="N89" s="116"/>
      <c r="O89" s="436"/>
    </row>
    <row r="90" spans="1:15" s="25" customFormat="1" ht="22.5" x14ac:dyDescent="0.2">
      <c r="A90" s="581" t="s">
        <v>277</v>
      </c>
      <c r="B90" s="582">
        <v>85397</v>
      </c>
      <c r="C90" s="583" t="s">
        <v>604</v>
      </c>
      <c r="D90" s="584" t="s">
        <v>912</v>
      </c>
      <c r="E90" s="583" t="s">
        <v>183</v>
      </c>
      <c r="F90" s="585">
        <f>'MEMÓRIA DE CÁLCULO'!I11</f>
        <v>165</v>
      </c>
      <c r="G90" s="586"/>
      <c r="H90" s="587"/>
      <c r="I90" s="588">
        <v>18.7</v>
      </c>
      <c r="J90" s="589">
        <f>H90+I90</f>
        <v>18.7</v>
      </c>
      <c r="K90" s="587">
        <f>H90*F90</f>
        <v>0</v>
      </c>
      <c r="L90" s="588">
        <f>I90*F90</f>
        <v>3085.5</v>
      </c>
      <c r="M90" s="589">
        <f>K90+L90</f>
        <v>3085.5</v>
      </c>
      <c r="N90" s="585">
        <f>M90*$N$7</f>
        <v>757.79880000000003</v>
      </c>
      <c r="O90" s="585">
        <f>ROUND(M90+N90,2)</f>
        <v>3843.3</v>
      </c>
    </row>
    <row r="91" spans="1:15" s="356" customFormat="1" ht="11.25" x14ac:dyDescent="0.2">
      <c r="A91" s="359"/>
      <c r="B91" s="160"/>
      <c r="C91" s="31"/>
      <c r="D91" s="146"/>
      <c r="E91" s="32"/>
      <c r="F91" s="147"/>
      <c r="G91" s="33"/>
      <c r="H91" s="129"/>
      <c r="I91" s="29"/>
      <c r="J91" s="130"/>
      <c r="K91" s="129"/>
      <c r="L91" s="29"/>
      <c r="M91" s="130"/>
      <c r="N91" s="116"/>
      <c r="O91" s="436"/>
    </row>
    <row r="92" spans="1:15" s="25" customFormat="1" ht="22.5" x14ac:dyDescent="0.2">
      <c r="A92" s="581" t="s">
        <v>277</v>
      </c>
      <c r="B92" s="582">
        <v>72215</v>
      </c>
      <c r="C92" s="583" t="s">
        <v>605</v>
      </c>
      <c r="D92" s="584" t="s">
        <v>925</v>
      </c>
      <c r="E92" s="583" t="s">
        <v>493</v>
      </c>
      <c r="F92" s="585">
        <f>'MEMÓRIA DE CÁLCULO'!I10+'MEMÓRIA DE CÁLCULO'!N168</f>
        <v>7.3303500000000001</v>
      </c>
      <c r="G92" s="586"/>
      <c r="H92" s="587">
        <v>0</v>
      </c>
      <c r="I92" s="588">
        <v>34.590000000000003</v>
      </c>
      <c r="J92" s="589">
        <f>H92+I92</f>
        <v>34.590000000000003</v>
      </c>
      <c r="K92" s="587">
        <f>H92*F92</f>
        <v>0</v>
      </c>
      <c r="L92" s="588">
        <f>I92*F92</f>
        <v>253.55680650000002</v>
      </c>
      <c r="M92" s="589">
        <f>K92+L92</f>
        <v>253.55680650000002</v>
      </c>
      <c r="N92" s="585">
        <f>M92*$N$7</f>
        <v>62.273551676400011</v>
      </c>
      <c r="O92" s="585">
        <f>ROUND(M92+N92,2)</f>
        <v>315.83</v>
      </c>
    </row>
    <row r="93" spans="1:15" s="356" customFormat="1" ht="11.25" x14ac:dyDescent="0.2">
      <c r="A93" s="359"/>
      <c r="B93" s="160"/>
      <c r="C93" s="31"/>
      <c r="D93" s="146" t="s">
        <v>288</v>
      </c>
      <c r="E93" s="32"/>
      <c r="F93" s="147"/>
      <c r="G93" s="33"/>
      <c r="H93" s="129"/>
      <c r="I93" s="29"/>
      <c r="J93" s="130"/>
      <c r="K93" s="129"/>
      <c r="L93" s="29"/>
      <c r="M93" s="130"/>
      <c r="N93" s="115"/>
      <c r="O93" s="358"/>
    </row>
    <row r="94" spans="1:15" s="25" customFormat="1" ht="22.5" x14ac:dyDescent="0.2">
      <c r="A94" s="581" t="s">
        <v>277</v>
      </c>
      <c r="B94" s="582">
        <v>73616</v>
      </c>
      <c r="C94" s="583" t="s">
        <v>606</v>
      </c>
      <c r="D94" s="584" t="s">
        <v>926</v>
      </c>
      <c r="E94" s="583" t="s">
        <v>493</v>
      </c>
      <c r="F94" s="585">
        <f>'MEMÓRIA DE CÁLCULO'!I16</f>
        <v>5.8000000000000007</v>
      </c>
      <c r="G94" s="586"/>
      <c r="H94" s="587">
        <v>0</v>
      </c>
      <c r="I94" s="588">
        <v>202.61</v>
      </c>
      <c r="J94" s="589">
        <f>H94+I94</f>
        <v>202.61</v>
      </c>
      <c r="K94" s="587">
        <f>H94*F94</f>
        <v>0</v>
      </c>
      <c r="L94" s="588">
        <f>I94*F94</f>
        <v>1175.1380000000001</v>
      </c>
      <c r="M94" s="589">
        <f>K94+L94</f>
        <v>1175.1380000000001</v>
      </c>
      <c r="N94" s="585">
        <f>M94*$N$7</f>
        <v>288.61389280000003</v>
      </c>
      <c r="O94" s="585">
        <f>ROUND(M94+N94,2)</f>
        <v>1463.75</v>
      </c>
    </row>
    <row r="95" spans="1:15" s="356" customFormat="1" ht="11.25" x14ac:dyDescent="0.2">
      <c r="A95" s="359"/>
      <c r="B95" s="160"/>
      <c r="C95" s="31"/>
      <c r="D95" s="146" t="s">
        <v>288</v>
      </c>
      <c r="E95" s="32"/>
      <c r="F95" s="147"/>
      <c r="G95" s="33"/>
      <c r="H95" s="129"/>
      <c r="I95" s="29"/>
      <c r="J95" s="130"/>
      <c r="K95" s="129"/>
      <c r="L95" s="29"/>
      <c r="M95" s="130"/>
      <c r="N95" s="115"/>
      <c r="O95" s="358"/>
    </row>
    <row r="96" spans="1:15" s="25" customFormat="1" ht="22.5" x14ac:dyDescent="0.2">
      <c r="A96" s="581" t="s">
        <v>277</v>
      </c>
      <c r="B96" s="582">
        <v>85334</v>
      </c>
      <c r="C96" s="583" t="s">
        <v>607</v>
      </c>
      <c r="D96" s="584" t="s">
        <v>914</v>
      </c>
      <c r="E96" s="583" t="s">
        <v>227</v>
      </c>
      <c r="F96" s="585">
        <f>11*2.1*0.9</f>
        <v>20.790000000000003</v>
      </c>
      <c r="G96" s="586"/>
      <c r="H96" s="587"/>
      <c r="I96" s="588">
        <v>13.83</v>
      </c>
      <c r="J96" s="589">
        <f>H96+I96</f>
        <v>13.83</v>
      </c>
      <c r="K96" s="587">
        <f>H96*F96</f>
        <v>0</v>
      </c>
      <c r="L96" s="588">
        <f>I96*F96</f>
        <v>287.52570000000003</v>
      </c>
      <c r="M96" s="589">
        <f>K96+L96</f>
        <v>287.52570000000003</v>
      </c>
      <c r="N96" s="585">
        <f>M96*$N$7</f>
        <v>70.616311920000015</v>
      </c>
      <c r="O96" s="585">
        <f>ROUND(M96+N96,2)</f>
        <v>358.14</v>
      </c>
    </row>
    <row r="97" spans="1:15" s="356" customFormat="1" ht="11.25" x14ac:dyDescent="0.2">
      <c r="A97" s="359"/>
      <c r="B97" s="160"/>
      <c r="C97" s="31"/>
      <c r="D97" s="146" t="s">
        <v>288</v>
      </c>
      <c r="E97" s="32"/>
      <c r="F97" s="147"/>
      <c r="G97" s="33"/>
      <c r="H97" s="129"/>
      <c r="I97" s="29"/>
      <c r="J97" s="130"/>
      <c r="K97" s="129"/>
      <c r="L97" s="29"/>
      <c r="M97" s="130"/>
      <c r="N97" s="116"/>
      <c r="O97" s="436"/>
    </row>
    <row r="98" spans="1:15" s="25" customFormat="1" ht="22.5" x14ac:dyDescent="0.2">
      <c r="A98" s="581"/>
      <c r="B98" s="582" t="s">
        <v>987</v>
      </c>
      <c r="C98" s="583" t="s">
        <v>608</v>
      </c>
      <c r="D98" s="584" t="s">
        <v>927</v>
      </c>
      <c r="E98" s="583" t="s">
        <v>183</v>
      </c>
      <c r="F98" s="585">
        <f>'MEMÓRIA DE CÁLCULO'!I13</f>
        <v>24</v>
      </c>
      <c r="G98" s="586"/>
      <c r="H98" s="588">
        <f>ROUND(SUM(H99),2)</f>
        <v>0</v>
      </c>
      <c r="I98" s="588">
        <f>ROUND(SUM(I99),2)</f>
        <v>2.68</v>
      </c>
      <c r="J98" s="589">
        <f>H98+I98</f>
        <v>2.68</v>
      </c>
      <c r="K98" s="587">
        <f>H98*F98</f>
        <v>0</v>
      </c>
      <c r="L98" s="588">
        <f>I98*F98</f>
        <v>64.320000000000007</v>
      </c>
      <c r="M98" s="589">
        <f>K98+L98</f>
        <v>64.320000000000007</v>
      </c>
      <c r="N98" s="585">
        <f>M98*$N$7</f>
        <v>15.796992000000003</v>
      </c>
      <c r="O98" s="585">
        <f>ROUND(M98+N98,2)</f>
        <v>80.12</v>
      </c>
    </row>
    <row r="99" spans="1:15" s="356" customFormat="1" ht="11.25" x14ac:dyDescent="0.2">
      <c r="A99" s="359"/>
      <c r="B99" s="160"/>
      <c r="C99" s="31"/>
      <c r="D99" s="146" t="s">
        <v>207</v>
      </c>
      <c r="E99" s="149" t="s">
        <v>229</v>
      </c>
      <c r="F99" s="147">
        <v>0.3</v>
      </c>
      <c r="G99" s="435">
        <v>8.92</v>
      </c>
      <c r="H99" s="129"/>
      <c r="I99" s="35">
        <f>F99*G99</f>
        <v>2.6759999999999997</v>
      </c>
      <c r="J99" s="130"/>
      <c r="K99" s="129"/>
      <c r="L99" s="29"/>
      <c r="M99" s="130"/>
      <c r="N99" s="116"/>
      <c r="O99" s="436"/>
    </row>
    <row r="100" spans="1:15" s="25" customFormat="1" ht="14.25" x14ac:dyDescent="0.2">
      <c r="A100" s="166"/>
      <c r="B100" s="160"/>
      <c r="C100" s="31"/>
      <c r="D100" s="146"/>
      <c r="E100" s="32"/>
      <c r="F100" s="147"/>
      <c r="G100" s="33"/>
      <c r="H100" s="129"/>
      <c r="I100" s="29"/>
      <c r="J100" s="130"/>
      <c r="K100" s="129"/>
      <c r="L100" s="29"/>
      <c r="M100" s="130"/>
      <c r="N100" s="115"/>
      <c r="O100" s="115"/>
    </row>
    <row r="101" spans="1:15" s="356" customFormat="1" ht="11.25" x14ac:dyDescent="0.2">
      <c r="A101" s="413"/>
      <c r="B101" s="414"/>
      <c r="C101" s="415"/>
      <c r="D101" s="416" t="s">
        <v>437</v>
      </c>
      <c r="E101" s="417"/>
      <c r="F101" s="418"/>
      <c r="G101" s="419"/>
      <c r="H101" s="420"/>
      <c r="I101" s="421"/>
      <c r="J101" s="422"/>
      <c r="K101" s="420"/>
      <c r="L101" s="421"/>
      <c r="M101" s="422"/>
      <c r="N101" s="423"/>
      <c r="O101" s="423"/>
    </row>
    <row r="102" spans="1:15" s="25" customFormat="1" ht="8.25" customHeight="1" x14ac:dyDescent="0.2">
      <c r="A102" s="166"/>
      <c r="B102" s="161"/>
      <c r="C102" s="36"/>
      <c r="D102" s="146" t="s">
        <v>288</v>
      </c>
      <c r="E102" s="32"/>
      <c r="F102" s="147"/>
      <c r="G102" s="33"/>
      <c r="H102" s="129"/>
      <c r="I102" s="29"/>
      <c r="J102" s="130"/>
      <c r="K102" s="129"/>
      <c r="L102" s="29"/>
      <c r="M102" s="130"/>
      <c r="N102" s="115"/>
      <c r="O102" s="115"/>
    </row>
    <row r="103" spans="1:15" s="25" customFormat="1" ht="22.5" x14ac:dyDescent="0.2">
      <c r="A103" s="581" t="s">
        <v>277</v>
      </c>
      <c r="B103" s="582" t="s">
        <v>985</v>
      </c>
      <c r="C103" s="583" t="s">
        <v>609</v>
      </c>
      <c r="D103" s="584" t="s">
        <v>910</v>
      </c>
      <c r="E103" s="583" t="s">
        <v>183</v>
      </c>
      <c r="F103" s="585">
        <f>'MEMÓRIA DE CÁLCULO'!N7</f>
        <v>440</v>
      </c>
      <c r="G103" s="586"/>
      <c r="H103" s="587"/>
      <c r="I103" s="588">
        <v>6.22</v>
      </c>
      <c r="J103" s="589">
        <f>H103+I103</f>
        <v>6.22</v>
      </c>
      <c r="K103" s="587">
        <f>H103*F103</f>
        <v>0</v>
      </c>
      <c r="L103" s="588">
        <f>I103*F103</f>
        <v>2736.7999999999997</v>
      </c>
      <c r="M103" s="589">
        <f>K103+L103</f>
        <v>2736.7999999999997</v>
      </c>
      <c r="N103" s="585">
        <f>M103*$N$7</f>
        <v>672.15807999999993</v>
      </c>
      <c r="O103" s="585">
        <f>ROUND(M103+N103,2)</f>
        <v>3408.96</v>
      </c>
    </row>
    <row r="104" spans="1:15" s="356" customFormat="1" ht="11.25" x14ac:dyDescent="0.2">
      <c r="A104" s="359"/>
      <c r="B104" s="160"/>
      <c r="C104" s="31"/>
      <c r="D104" s="146" t="s">
        <v>288</v>
      </c>
      <c r="E104" s="32"/>
      <c r="F104" s="147"/>
      <c r="G104" s="33"/>
      <c r="H104" s="129"/>
      <c r="I104" s="29"/>
      <c r="J104" s="130"/>
      <c r="K104" s="129"/>
      <c r="L104" s="29"/>
      <c r="M104" s="130"/>
      <c r="N104" s="116"/>
      <c r="O104" s="436"/>
    </row>
    <row r="105" spans="1:15" s="25" customFormat="1" ht="22.5" x14ac:dyDescent="0.2">
      <c r="A105" s="581" t="s">
        <v>277</v>
      </c>
      <c r="B105" s="582">
        <v>85367</v>
      </c>
      <c r="C105" s="583" t="s">
        <v>933</v>
      </c>
      <c r="D105" s="584" t="s">
        <v>928</v>
      </c>
      <c r="E105" s="583" t="s">
        <v>183</v>
      </c>
      <c r="F105" s="585">
        <f>'MEMÓRIA DE CÁLCULO'!N8</f>
        <v>440</v>
      </c>
      <c r="G105" s="586"/>
      <c r="H105" s="587"/>
      <c r="I105" s="588">
        <v>13.18</v>
      </c>
      <c r="J105" s="589">
        <f>H105+I105</f>
        <v>13.18</v>
      </c>
      <c r="K105" s="587">
        <f>H105*F105</f>
        <v>0</v>
      </c>
      <c r="L105" s="588">
        <f>I105*F105</f>
        <v>5799.2</v>
      </c>
      <c r="M105" s="589">
        <f>K105+L105</f>
        <v>5799.2</v>
      </c>
      <c r="N105" s="585">
        <f>M105*$N$7</f>
        <v>1424.28352</v>
      </c>
      <c r="O105" s="585">
        <f>ROUND(M105+N105,2)</f>
        <v>7223.48</v>
      </c>
    </row>
    <row r="106" spans="1:15" s="356" customFormat="1" ht="11.25" x14ac:dyDescent="0.2">
      <c r="A106" s="359"/>
      <c r="B106" s="160"/>
      <c r="C106" s="31"/>
      <c r="D106" s="146"/>
      <c r="E106" s="32"/>
      <c r="F106" s="147"/>
      <c r="G106" s="33"/>
      <c r="H106" s="129"/>
      <c r="I106" s="29"/>
      <c r="J106" s="130"/>
      <c r="K106" s="129"/>
      <c r="L106" s="29"/>
      <c r="M106" s="130"/>
      <c r="N106" s="116"/>
      <c r="O106" s="436"/>
    </row>
    <row r="107" spans="1:15" s="25" customFormat="1" ht="22.5" x14ac:dyDescent="0.2">
      <c r="A107" s="581" t="s">
        <v>277</v>
      </c>
      <c r="B107" s="582">
        <v>85397</v>
      </c>
      <c r="C107" s="583" t="s">
        <v>934</v>
      </c>
      <c r="D107" s="584" t="s">
        <v>929</v>
      </c>
      <c r="E107" s="583" t="s">
        <v>183</v>
      </c>
      <c r="F107" s="585">
        <f>'MEMÓRIA DE CÁLCULO'!N11</f>
        <v>90</v>
      </c>
      <c r="G107" s="586"/>
      <c r="H107" s="587"/>
      <c r="I107" s="588">
        <v>18.7</v>
      </c>
      <c r="J107" s="589">
        <f>H107+I107</f>
        <v>18.7</v>
      </c>
      <c r="K107" s="587">
        <f>H107*F107</f>
        <v>0</v>
      </c>
      <c r="L107" s="588">
        <f>I107*F107</f>
        <v>1683</v>
      </c>
      <c r="M107" s="589">
        <f>K107+L107</f>
        <v>1683</v>
      </c>
      <c r="N107" s="585">
        <f>M107*$N$7</f>
        <v>413.34480000000002</v>
      </c>
      <c r="O107" s="585">
        <f>ROUND(M107+N107,2)</f>
        <v>2096.34</v>
      </c>
    </row>
    <row r="108" spans="1:15" s="356" customFormat="1" ht="11.25" x14ac:dyDescent="0.2">
      <c r="A108" s="359"/>
      <c r="B108" s="160"/>
      <c r="C108" s="31"/>
      <c r="D108" s="146"/>
      <c r="E108" s="32"/>
      <c r="F108" s="147"/>
      <c r="G108" s="33"/>
      <c r="H108" s="129"/>
      <c r="I108" s="29"/>
      <c r="J108" s="130"/>
      <c r="K108" s="129"/>
      <c r="L108" s="29"/>
      <c r="M108" s="130"/>
      <c r="N108" s="116"/>
      <c r="O108" s="436"/>
    </row>
    <row r="109" spans="1:15" s="25" customFormat="1" ht="22.5" x14ac:dyDescent="0.2">
      <c r="A109" s="581" t="s">
        <v>277</v>
      </c>
      <c r="B109" s="582">
        <v>72215</v>
      </c>
      <c r="C109" s="583" t="s">
        <v>935</v>
      </c>
      <c r="D109" s="584" t="s">
        <v>913</v>
      </c>
      <c r="E109" s="583" t="s">
        <v>493</v>
      </c>
      <c r="F109" s="585">
        <f>'MEMÓRIA DE CÁLCULO'!N184+'MEMÓRIA DE CÁLCULO'!N10</f>
        <v>10.458</v>
      </c>
      <c r="G109" s="586"/>
      <c r="H109" s="587">
        <v>0</v>
      </c>
      <c r="I109" s="588">
        <v>34.590000000000003</v>
      </c>
      <c r="J109" s="589">
        <f>H109+I109</f>
        <v>34.590000000000003</v>
      </c>
      <c r="K109" s="587">
        <f>H109*F109</f>
        <v>0</v>
      </c>
      <c r="L109" s="588">
        <f>I109*F109</f>
        <v>361.74222000000003</v>
      </c>
      <c r="M109" s="589">
        <f>K109+L109</f>
        <v>361.74222000000003</v>
      </c>
      <c r="N109" s="585">
        <f>M109*$N$7</f>
        <v>88.843889232000009</v>
      </c>
      <c r="O109" s="585">
        <f>ROUND(M109+N109,2)</f>
        <v>450.59</v>
      </c>
    </row>
    <row r="110" spans="1:15" s="356" customFormat="1" ht="11.25" x14ac:dyDescent="0.2">
      <c r="A110" s="359"/>
      <c r="B110" s="160"/>
      <c r="C110" s="31"/>
      <c r="D110" s="146" t="s">
        <v>288</v>
      </c>
      <c r="E110" s="32"/>
      <c r="F110" s="147"/>
      <c r="G110" s="33"/>
      <c r="H110" s="129"/>
      <c r="I110" s="29"/>
      <c r="J110" s="130"/>
      <c r="K110" s="129"/>
      <c r="L110" s="29"/>
      <c r="M110" s="130"/>
      <c r="N110" s="115"/>
      <c r="O110" s="358"/>
    </row>
    <row r="111" spans="1:15" s="25" customFormat="1" ht="22.5" x14ac:dyDescent="0.2">
      <c r="A111" s="581" t="s">
        <v>277</v>
      </c>
      <c r="B111" s="582">
        <v>73616</v>
      </c>
      <c r="C111" s="583" t="s">
        <v>936</v>
      </c>
      <c r="D111" s="584" t="s">
        <v>930</v>
      </c>
      <c r="E111" s="583" t="s">
        <v>493</v>
      </c>
      <c r="F111" s="585">
        <f>'MEMÓRIA DE CÁLCULO'!N16</f>
        <v>2.2000000000000002</v>
      </c>
      <c r="G111" s="586"/>
      <c r="H111" s="587">
        <v>0</v>
      </c>
      <c r="I111" s="588">
        <v>202.61</v>
      </c>
      <c r="J111" s="589">
        <f>H111+I111</f>
        <v>202.61</v>
      </c>
      <c r="K111" s="587">
        <f>H111*F111</f>
        <v>0</v>
      </c>
      <c r="L111" s="588">
        <f>I111*F111</f>
        <v>445.74200000000008</v>
      </c>
      <c r="M111" s="589">
        <f>K111+L111</f>
        <v>445.74200000000008</v>
      </c>
      <c r="N111" s="585">
        <f>M111*$N$7</f>
        <v>109.47423520000002</v>
      </c>
      <c r="O111" s="585">
        <f>ROUND(M111+N111,2)</f>
        <v>555.22</v>
      </c>
    </row>
    <row r="112" spans="1:15" s="356" customFormat="1" ht="11.25" x14ac:dyDescent="0.2">
      <c r="A112" s="359"/>
      <c r="B112" s="160"/>
      <c r="C112" s="31"/>
      <c r="D112" s="146" t="s">
        <v>288</v>
      </c>
      <c r="E112" s="32"/>
      <c r="F112" s="147"/>
      <c r="G112" s="33"/>
      <c r="H112" s="129"/>
      <c r="I112" s="29"/>
      <c r="J112" s="130"/>
      <c r="K112" s="129"/>
      <c r="L112" s="29"/>
      <c r="M112" s="130"/>
      <c r="N112" s="115"/>
      <c r="O112" s="358"/>
    </row>
    <row r="113" spans="1:15" s="25" customFormat="1" ht="22.5" x14ac:dyDescent="0.2">
      <c r="A113" s="581" t="s">
        <v>277</v>
      </c>
      <c r="B113" s="582">
        <v>85334</v>
      </c>
      <c r="C113" s="583" t="s">
        <v>937</v>
      </c>
      <c r="D113" s="584" t="s">
        <v>986</v>
      </c>
      <c r="E113" s="583" t="s">
        <v>227</v>
      </c>
      <c r="F113" s="585">
        <f>'MEMÓRIA DE CÁLCULO'!L12*2.1*0.9</f>
        <v>17.010000000000002</v>
      </c>
      <c r="G113" s="586"/>
      <c r="H113" s="587"/>
      <c r="I113" s="588">
        <v>13.83</v>
      </c>
      <c r="J113" s="589">
        <f>H113+I113</f>
        <v>13.83</v>
      </c>
      <c r="K113" s="587">
        <f>H113*F113</f>
        <v>0</v>
      </c>
      <c r="L113" s="588">
        <f>I113*F113</f>
        <v>235.24830000000003</v>
      </c>
      <c r="M113" s="589">
        <f>K113+L113</f>
        <v>235.24830000000003</v>
      </c>
      <c r="N113" s="585">
        <f>M113*$N$7</f>
        <v>57.776982480000008</v>
      </c>
      <c r="O113" s="585">
        <f>ROUND(M113+N113,2)</f>
        <v>293.02999999999997</v>
      </c>
    </row>
    <row r="114" spans="1:15" s="356" customFormat="1" ht="11.25" x14ac:dyDescent="0.2">
      <c r="A114" s="359"/>
      <c r="B114" s="160"/>
      <c r="C114" s="31"/>
      <c r="D114" s="146" t="s">
        <v>288</v>
      </c>
      <c r="E114" s="32"/>
      <c r="F114" s="147"/>
      <c r="G114" s="33"/>
      <c r="H114" s="129"/>
      <c r="I114" s="29"/>
      <c r="J114" s="130"/>
      <c r="K114" s="129"/>
      <c r="L114" s="29"/>
      <c r="M114" s="130"/>
      <c r="N114" s="116"/>
      <c r="O114" s="436"/>
    </row>
    <row r="115" spans="1:15" s="25" customFormat="1" ht="22.5" x14ac:dyDescent="0.2">
      <c r="A115" s="581"/>
      <c r="B115" s="582" t="s">
        <v>247</v>
      </c>
      <c r="C115" s="583" t="s">
        <v>938</v>
      </c>
      <c r="D115" s="584" t="s">
        <v>927</v>
      </c>
      <c r="E115" s="583" t="s">
        <v>183</v>
      </c>
      <c r="F115" s="585">
        <v>24</v>
      </c>
      <c r="G115" s="586"/>
      <c r="H115" s="588">
        <f>ROUND(SUM(H116),2)</f>
        <v>0</v>
      </c>
      <c r="I115" s="588">
        <f>ROUND(SUM(I116),2)</f>
        <v>2.68</v>
      </c>
      <c r="J115" s="589">
        <f>H115+I115</f>
        <v>2.68</v>
      </c>
      <c r="K115" s="587">
        <f>H115*F115</f>
        <v>0</v>
      </c>
      <c r="L115" s="588">
        <f>I115*F115</f>
        <v>64.320000000000007</v>
      </c>
      <c r="M115" s="589">
        <f>K115+L115</f>
        <v>64.320000000000007</v>
      </c>
      <c r="N115" s="585">
        <f>M115*$N$7</f>
        <v>15.796992000000003</v>
      </c>
      <c r="O115" s="585">
        <f>ROUND(M115+N115,2)</f>
        <v>80.12</v>
      </c>
    </row>
    <row r="116" spans="1:15" s="356" customFormat="1" ht="11.25" x14ac:dyDescent="0.2">
      <c r="A116" s="359"/>
      <c r="B116" s="160"/>
      <c r="C116" s="31"/>
      <c r="D116" s="146" t="s">
        <v>207</v>
      </c>
      <c r="E116" s="149" t="s">
        <v>229</v>
      </c>
      <c r="F116" s="147">
        <v>0.3</v>
      </c>
      <c r="G116" s="435">
        <v>8.92</v>
      </c>
      <c r="H116" s="129"/>
      <c r="I116" s="35">
        <f>F116*G116</f>
        <v>2.6759999999999997</v>
      </c>
      <c r="J116" s="130"/>
      <c r="K116" s="129"/>
      <c r="L116" s="29"/>
      <c r="M116" s="130"/>
      <c r="N116" s="116"/>
      <c r="O116" s="436"/>
    </row>
    <row r="117" spans="1:15" s="25" customFormat="1" ht="14.25" x14ac:dyDescent="0.2">
      <c r="A117" s="166"/>
      <c r="B117" s="160"/>
      <c r="C117" s="31"/>
      <c r="D117" s="146"/>
      <c r="E117" s="32"/>
      <c r="F117" s="147"/>
      <c r="G117" s="33"/>
      <c r="H117" s="129"/>
      <c r="I117" s="29"/>
      <c r="J117" s="130"/>
      <c r="K117" s="129"/>
      <c r="L117" s="29"/>
      <c r="M117" s="130"/>
      <c r="N117" s="115"/>
      <c r="O117" s="115"/>
    </row>
    <row r="118" spans="1:15" s="25" customFormat="1" ht="14.25" x14ac:dyDescent="0.2">
      <c r="A118" s="581" t="s">
        <v>277</v>
      </c>
      <c r="B118" s="582">
        <v>85383</v>
      </c>
      <c r="C118" s="583" t="s">
        <v>939</v>
      </c>
      <c r="D118" s="590" t="s">
        <v>495</v>
      </c>
      <c r="E118" s="583" t="s">
        <v>314</v>
      </c>
      <c r="F118" s="585">
        <f>'MEMÓRIA DE CÁLCULO'!D286+'MEMÓRIA DE CÁLCULO'!D287+'MEMÓRIA DE CÁLCULO'!D288</f>
        <v>224.8</v>
      </c>
      <c r="G118" s="586"/>
      <c r="H118" s="587">
        <v>0</v>
      </c>
      <c r="I118" s="588">
        <v>2.76</v>
      </c>
      <c r="J118" s="589">
        <f>H118+I118</f>
        <v>2.76</v>
      </c>
      <c r="K118" s="587">
        <f>H118*F118</f>
        <v>0</v>
      </c>
      <c r="L118" s="588">
        <f>I118*F118</f>
        <v>620.44799999999998</v>
      </c>
      <c r="M118" s="589">
        <f>K118+L118</f>
        <v>620.44799999999998</v>
      </c>
      <c r="N118" s="585">
        <f>M118*$N$7</f>
        <v>152.3820288</v>
      </c>
      <c r="O118" s="585">
        <f>ROUND(M118+N118,2)</f>
        <v>772.83</v>
      </c>
    </row>
    <row r="119" spans="1:15" s="356" customFormat="1" ht="11.25" x14ac:dyDescent="0.2">
      <c r="A119" s="359"/>
      <c r="B119" s="160"/>
      <c r="C119" s="31"/>
      <c r="D119" s="146" t="s">
        <v>288</v>
      </c>
      <c r="E119" s="32"/>
      <c r="F119" s="147"/>
      <c r="G119" s="33"/>
      <c r="H119" s="129"/>
      <c r="I119" s="29"/>
      <c r="J119" s="130"/>
      <c r="K119" s="129"/>
      <c r="L119" s="29"/>
      <c r="M119" s="130"/>
      <c r="N119" s="116"/>
      <c r="O119" s="436"/>
    </row>
    <row r="120" spans="1:15" s="356" customFormat="1" ht="11.25" x14ac:dyDescent="0.2">
      <c r="A120" s="359"/>
      <c r="B120" s="160"/>
      <c r="C120" s="31"/>
      <c r="D120" s="146" t="s">
        <v>288</v>
      </c>
      <c r="E120" s="32"/>
      <c r="F120" s="147"/>
      <c r="G120" s="33"/>
      <c r="H120" s="129"/>
      <c r="I120" s="29"/>
      <c r="J120" s="130"/>
      <c r="K120" s="129"/>
      <c r="L120" s="29"/>
      <c r="M120" s="130"/>
      <c r="N120" s="116"/>
      <c r="O120" s="436"/>
    </row>
    <row r="121" spans="1:15" s="25" customFormat="1" ht="15.75" x14ac:dyDescent="0.2">
      <c r="A121" s="187"/>
      <c r="B121" s="188"/>
      <c r="C121" s="189">
        <v>4</v>
      </c>
      <c r="D121" s="190" t="s">
        <v>317</v>
      </c>
      <c r="E121" s="191"/>
      <c r="F121" s="190"/>
      <c r="G121" s="191"/>
      <c r="H121" s="192"/>
      <c r="I121" s="193"/>
      <c r="J121" s="194"/>
      <c r="K121" s="192"/>
      <c r="L121" s="193"/>
      <c r="M121" s="194"/>
      <c r="N121" s="195"/>
      <c r="O121" s="196">
        <f>SUM(O123:O169)</f>
        <v>7707.8000000000011</v>
      </c>
    </row>
    <row r="122" spans="1:15" s="25" customFormat="1" ht="14.25" x14ac:dyDescent="0.2">
      <c r="A122" s="166"/>
      <c r="B122" s="160"/>
      <c r="C122" s="31"/>
      <c r="D122" s="146" t="s">
        <v>288</v>
      </c>
      <c r="E122" s="32"/>
      <c r="F122" s="147"/>
      <c r="G122" s="33"/>
      <c r="H122" s="129"/>
      <c r="I122" s="29"/>
      <c r="J122" s="130"/>
      <c r="K122" s="129"/>
      <c r="L122" s="29"/>
      <c r="M122" s="130"/>
      <c r="N122" s="115"/>
      <c r="O122" s="115"/>
    </row>
    <row r="123" spans="1:15" s="25" customFormat="1" ht="14.25" x14ac:dyDescent="0.2">
      <c r="A123" s="167"/>
      <c r="B123" s="149"/>
      <c r="C123" s="152"/>
      <c r="D123" s="154" t="s">
        <v>566</v>
      </c>
      <c r="E123" s="152"/>
      <c r="F123" s="113"/>
      <c r="G123" s="145"/>
      <c r="H123" s="127"/>
      <c r="I123" s="37"/>
      <c r="J123" s="128"/>
      <c r="K123" s="127"/>
      <c r="L123" s="37"/>
      <c r="M123" s="128"/>
      <c r="N123" s="113"/>
      <c r="O123" s="113"/>
    </row>
    <row r="124" spans="1:15" s="25" customFormat="1" ht="14.25" x14ac:dyDescent="0.2">
      <c r="A124" s="166"/>
      <c r="B124" s="160"/>
      <c r="C124" s="31"/>
      <c r="D124" s="146" t="s">
        <v>288</v>
      </c>
      <c r="E124" s="32"/>
      <c r="F124" s="147"/>
      <c r="G124" s="33"/>
      <c r="H124" s="129"/>
      <c r="I124" s="29"/>
      <c r="J124" s="130"/>
      <c r="K124" s="129"/>
      <c r="L124" s="29"/>
      <c r="M124" s="130"/>
      <c r="N124" s="115"/>
      <c r="O124" s="115"/>
    </row>
    <row r="125" spans="1:15" s="25" customFormat="1" ht="33.75" x14ac:dyDescent="0.2">
      <c r="A125" s="581" t="s">
        <v>277</v>
      </c>
      <c r="B125" s="582">
        <v>84215</v>
      </c>
      <c r="C125" s="583" t="s">
        <v>610</v>
      </c>
      <c r="D125" s="584" t="s">
        <v>626</v>
      </c>
      <c r="E125" s="583" t="s">
        <v>310</v>
      </c>
      <c r="F125" s="585">
        <f>'MEMÓRIA DE CÁLCULO'!D308+'MEMÓRIA DE CÁLCULO'!D314</f>
        <v>26.747</v>
      </c>
      <c r="G125" s="586"/>
      <c r="H125" s="587">
        <v>19.989999999999998</v>
      </c>
      <c r="I125" s="588">
        <v>13.57</v>
      </c>
      <c r="J125" s="589">
        <f>H125+I125</f>
        <v>33.56</v>
      </c>
      <c r="K125" s="587">
        <f>H125*F125</f>
        <v>534.67252999999994</v>
      </c>
      <c r="L125" s="588">
        <f>I125*F125</f>
        <v>362.95679000000001</v>
      </c>
      <c r="M125" s="589">
        <f>K125+L125</f>
        <v>897.62932000000001</v>
      </c>
      <c r="N125" s="585">
        <f>M125*$N$7</f>
        <v>220.457760992</v>
      </c>
      <c r="O125" s="585">
        <f>ROUND(M125+N125,2)</f>
        <v>1118.0899999999999</v>
      </c>
    </row>
    <row r="126" spans="1:15" s="25" customFormat="1" ht="14.25" x14ac:dyDescent="0.2">
      <c r="A126" s="166"/>
      <c r="B126" s="160"/>
      <c r="C126" s="31"/>
      <c r="D126" s="146" t="s">
        <v>288</v>
      </c>
      <c r="E126" s="32"/>
      <c r="F126" s="147"/>
      <c r="G126" s="33"/>
      <c r="H126" s="129"/>
      <c r="I126" s="29"/>
      <c r="J126" s="130"/>
      <c r="K126" s="129"/>
      <c r="L126" s="29"/>
      <c r="M126" s="130"/>
      <c r="N126" s="115"/>
      <c r="O126" s="115"/>
    </row>
    <row r="127" spans="1:15" s="25" customFormat="1" ht="14.25" x14ac:dyDescent="0.2">
      <c r="A127" s="581" t="s">
        <v>277</v>
      </c>
      <c r="B127" s="582" t="s">
        <v>176</v>
      </c>
      <c r="C127" s="583" t="s">
        <v>611</v>
      </c>
      <c r="D127" s="584" t="s">
        <v>627</v>
      </c>
      <c r="E127" s="583" t="s">
        <v>311</v>
      </c>
      <c r="F127" s="585">
        <f>'MEMÓRIA DE CÁLCULO'!D306+'MEMÓRIA DE CÁLCULO'!D312</f>
        <v>1.1580000000000001</v>
      </c>
      <c r="G127" s="586"/>
      <c r="H127" s="587">
        <v>291.64999999999998</v>
      </c>
      <c r="I127" s="588">
        <v>37.03</v>
      </c>
      <c r="J127" s="589">
        <f>H127+I127</f>
        <v>328.67999999999995</v>
      </c>
      <c r="K127" s="587">
        <f>H127*F127</f>
        <v>337.73070000000001</v>
      </c>
      <c r="L127" s="588">
        <f>I127*F127</f>
        <v>42.880740000000003</v>
      </c>
      <c r="M127" s="589">
        <f>K127+L127</f>
        <v>380.61144000000002</v>
      </c>
      <c r="N127" s="585">
        <f>M127*$N$7</f>
        <v>93.478169664000006</v>
      </c>
      <c r="O127" s="585">
        <f>ROUND(M127+N127,2)</f>
        <v>474.09</v>
      </c>
    </row>
    <row r="128" spans="1:15" s="25" customFormat="1" ht="14.25" x14ac:dyDescent="0.2">
      <c r="A128" s="166"/>
      <c r="B128" s="160"/>
      <c r="C128" s="31"/>
      <c r="D128" s="146" t="s">
        <v>288</v>
      </c>
      <c r="E128" s="32"/>
      <c r="F128" s="147"/>
      <c r="G128" s="33"/>
      <c r="H128" s="129"/>
      <c r="I128" s="29"/>
      <c r="J128" s="130"/>
      <c r="K128" s="129"/>
      <c r="L128" s="29"/>
      <c r="M128" s="130"/>
      <c r="N128" s="115"/>
      <c r="O128" s="115"/>
    </row>
    <row r="129" spans="1:15" s="25" customFormat="1" ht="22.5" x14ac:dyDescent="0.2">
      <c r="A129" s="581" t="s">
        <v>277</v>
      </c>
      <c r="B129" s="582" t="s">
        <v>316</v>
      </c>
      <c r="C129" s="583" t="s">
        <v>612</v>
      </c>
      <c r="D129" s="584" t="s">
        <v>628</v>
      </c>
      <c r="E129" s="583" t="s">
        <v>313</v>
      </c>
      <c r="F129" s="585">
        <f>'MEMÓRIA DE CÁLCULO'!D307+'MEMÓRIA DE CÁLCULO'!D313</f>
        <v>81.06</v>
      </c>
      <c r="G129" s="586"/>
      <c r="H129" s="587">
        <v>5.22</v>
      </c>
      <c r="I129" s="588">
        <v>2.16</v>
      </c>
      <c r="J129" s="589">
        <f>H129+I129</f>
        <v>7.38</v>
      </c>
      <c r="K129" s="587">
        <f>H129*F129</f>
        <v>423.13319999999999</v>
      </c>
      <c r="L129" s="588">
        <f>I129*F129</f>
        <v>175.08960000000002</v>
      </c>
      <c r="M129" s="589">
        <f>K129+L129</f>
        <v>598.22280000000001</v>
      </c>
      <c r="N129" s="585">
        <f>M129*$N$7</f>
        <v>146.92351968</v>
      </c>
      <c r="O129" s="585">
        <f>ROUND(M129+N129,2)</f>
        <v>745.15</v>
      </c>
    </row>
    <row r="130" spans="1:15" s="25" customFormat="1" ht="14.25" x14ac:dyDescent="0.2">
      <c r="A130" s="166"/>
      <c r="B130" s="160"/>
      <c r="C130" s="31"/>
      <c r="D130" s="146" t="s">
        <v>288</v>
      </c>
      <c r="E130" s="32"/>
      <c r="F130" s="147"/>
      <c r="G130" s="33"/>
      <c r="H130" s="129"/>
      <c r="I130" s="29"/>
      <c r="J130" s="130"/>
      <c r="K130" s="129"/>
      <c r="L130" s="29"/>
      <c r="M130" s="130"/>
      <c r="N130" s="115"/>
      <c r="O130" s="115"/>
    </row>
    <row r="131" spans="1:15" s="25" customFormat="1" ht="14.25" x14ac:dyDescent="0.2">
      <c r="A131" s="167"/>
      <c r="B131" s="149"/>
      <c r="C131" s="152"/>
      <c r="D131" s="154" t="s">
        <v>567</v>
      </c>
      <c r="E131" s="152"/>
      <c r="F131" s="113"/>
      <c r="G131" s="145"/>
      <c r="H131" s="127"/>
      <c r="I131" s="37"/>
      <c r="J131" s="128"/>
      <c r="K131" s="127"/>
      <c r="L131" s="37"/>
      <c r="M131" s="128"/>
      <c r="N131" s="113"/>
      <c r="O131" s="113"/>
    </row>
    <row r="132" spans="1:15" s="25" customFormat="1" ht="14.25" x14ac:dyDescent="0.2">
      <c r="A132" s="166"/>
      <c r="B132" s="160"/>
      <c r="C132" s="31"/>
      <c r="D132" s="146" t="s">
        <v>288</v>
      </c>
      <c r="E132" s="32"/>
      <c r="F132" s="147"/>
      <c r="G132" s="33"/>
      <c r="H132" s="129"/>
      <c r="I132" s="29"/>
      <c r="J132" s="130"/>
      <c r="K132" s="129"/>
      <c r="L132" s="29"/>
      <c r="M132" s="130"/>
      <c r="N132" s="115"/>
      <c r="O132" s="115"/>
    </row>
    <row r="133" spans="1:15" s="356" customFormat="1" ht="11.25" x14ac:dyDescent="0.2">
      <c r="A133" s="402"/>
      <c r="B133" s="403"/>
      <c r="C133" s="404"/>
      <c r="D133" s="405" t="s">
        <v>431</v>
      </c>
      <c r="E133" s="406"/>
      <c r="F133" s="407"/>
      <c r="G133" s="408"/>
      <c r="H133" s="409"/>
      <c r="I133" s="410"/>
      <c r="J133" s="411"/>
      <c r="K133" s="409"/>
      <c r="L133" s="410"/>
      <c r="M133" s="411"/>
      <c r="N133" s="412"/>
      <c r="O133" s="412"/>
    </row>
    <row r="134" spans="1:15" s="25" customFormat="1" ht="8.25" customHeight="1" x14ac:dyDescent="0.2">
      <c r="A134" s="166"/>
      <c r="B134" s="161"/>
      <c r="C134" s="36"/>
      <c r="D134" s="146" t="s">
        <v>288</v>
      </c>
      <c r="E134" s="32"/>
      <c r="F134" s="147"/>
      <c r="G134" s="33"/>
      <c r="H134" s="129"/>
      <c r="I134" s="29"/>
      <c r="J134" s="130"/>
      <c r="K134" s="129"/>
      <c r="L134" s="29"/>
      <c r="M134" s="130"/>
      <c r="N134" s="115"/>
      <c r="O134" s="115"/>
    </row>
    <row r="135" spans="1:15" s="25" customFormat="1" ht="33.75" x14ac:dyDescent="0.2">
      <c r="A135" s="581" t="s">
        <v>277</v>
      </c>
      <c r="B135" s="582">
        <v>84215</v>
      </c>
      <c r="C135" s="583" t="s">
        <v>613</v>
      </c>
      <c r="D135" s="584" t="s">
        <v>626</v>
      </c>
      <c r="E135" s="583" t="s">
        <v>310</v>
      </c>
      <c r="F135" s="585">
        <f>'MEMÓRIA DE CÁLCULO'!L133</f>
        <v>4.76</v>
      </c>
      <c r="G135" s="586"/>
      <c r="H135" s="587">
        <v>19.989999999999998</v>
      </c>
      <c r="I135" s="588">
        <v>12.97</v>
      </c>
      <c r="J135" s="589">
        <f>H135+I135</f>
        <v>32.96</v>
      </c>
      <c r="K135" s="587">
        <f>H135*F135</f>
        <v>95.152399999999986</v>
      </c>
      <c r="L135" s="588">
        <f>I135*F135</f>
        <v>61.737200000000001</v>
      </c>
      <c r="M135" s="589">
        <f>K135+L135</f>
        <v>156.88959999999997</v>
      </c>
      <c r="N135" s="585">
        <f>M135*$N$7</f>
        <v>38.532085759999994</v>
      </c>
      <c r="O135" s="585">
        <f>ROUND(M135+N135,2)</f>
        <v>195.42</v>
      </c>
    </row>
    <row r="136" spans="1:15" s="25" customFormat="1" ht="14.25" x14ac:dyDescent="0.2">
      <c r="A136" s="166"/>
      <c r="B136" s="160"/>
      <c r="C136" s="31"/>
      <c r="D136" s="146" t="s">
        <v>288</v>
      </c>
      <c r="E136" s="32"/>
      <c r="F136" s="147"/>
      <c r="G136" s="33"/>
      <c r="H136" s="129"/>
      <c r="I136" s="29"/>
      <c r="J136" s="130"/>
      <c r="K136" s="129"/>
      <c r="L136" s="29"/>
      <c r="M136" s="130"/>
      <c r="N136" s="115"/>
      <c r="O136" s="115"/>
    </row>
    <row r="137" spans="1:15" s="25" customFormat="1" ht="14.25" x14ac:dyDescent="0.2">
      <c r="A137" s="581" t="s">
        <v>277</v>
      </c>
      <c r="B137" s="582" t="s">
        <v>176</v>
      </c>
      <c r="C137" s="583" t="s">
        <v>614</v>
      </c>
      <c r="D137" s="584" t="s">
        <v>627</v>
      </c>
      <c r="E137" s="583" t="s">
        <v>311</v>
      </c>
      <c r="F137" s="585">
        <f>'MEMÓRIA DE CÁLCULO'!J133</f>
        <v>0.1275</v>
      </c>
      <c r="G137" s="586"/>
      <c r="H137" s="587">
        <v>291.64999999999998</v>
      </c>
      <c r="I137" s="588">
        <v>35.85</v>
      </c>
      <c r="J137" s="589">
        <f>H137+I137</f>
        <v>327.5</v>
      </c>
      <c r="K137" s="587">
        <f>H137*F137</f>
        <v>37.185375000000001</v>
      </c>
      <c r="L137" s="588">
        <f>I137*F137</f>
        <v>4.570875</v>
      </c>
      <c r="M137" s="589">
        <f>K137+L137</f>
        <v>41.756250000000001</v>
      </c>
      <c r="N137" s="585">
        <f>M137*$N$7</f>
        <v>10.255335000000001</v>
      </c>
      <c r="O137" s="585">
        <f>ROUND(M137+N137,2)</f>
        <v>52.01</v>
      </c>
    </row>
    <row r="138" spans="1:15" s="25" customFormat="1" ht="14.25" x14ac:dyDescent="0.2">
      <c r="A138" s="166"/>
      <c r="B138" s="160"/>
      <c r="C138" s="31"/>
      <c r="D138" s="146" t="s">
        <v>288</v>
      </c>
      <c r="E138" s="32"/>
      <c r="F138" s="147"/>
      <c r="G138" s="33"/>
      <c r="H138" s="129"/>
      <c r="I138" s="29"/>
      <c r="J138" s="130"/>
      <c r="K138" s="129"/>
      <c r="L138" s="29"/>
      <c r="M138" s="130"/>
      <c r="N138" s="115"/>
      <c r="O138" s="115"/>
    </row>
    <row r="139" spans="1:15" s="25" customFormat="1" ht="22.5" x14ac:dyDescent="0.2">
      <c r="A139" s="581" t="s">
        <v>277</v>
      </c>
      <c r="B139" s="582" t="s">
        <v>316</v>
      </c>
      <c r="C139" s="583" t="s">
        <v>615</v>
      </c>
      <c r="D139" s="584" t="s">
        <v>628</v>
      </c>
      <c r="E139" s="583" t="s">
        <v>313</v>
      </c>
      <c r="F139" s="585">
        <f>F137*0.7</f>
        <v>8.9249999999999996E-2</v>
      </c>
      <c r="G139" s="586"/>
      <c r="H139" s="587">
        <v>5.22</v>
      </c>
      <c r="I139" s="588">
        <v>2.19</v>
      </c>
      <c r="J139" s="589">
        <f>H139+I139</f>
        <v>7.41</v>
      </c>
      <c r="K139" s="587">
        <f>H139*F139</f>
        <v>0.46588499999999994</v>
      </c>
      <c r="L139" s="588">
        <f>I139*F139</f>
        <v>0.19545749999999998</v>
      </c>
      <c r="M139" s="589">
        <f>K139+L139</f>
        <v>0.66134249999999994</v>
      </c>
      <c r="N139" s="585">
        <f>M139*$N$7</f>
        <v>0.162425718</v>
      </c>
      <c r="O139" s="585">
        <f>ROUND(M139+N139,2)</f>
        <v>0.82</v>
      </c>
    </row>
    <row r="140" spans="1:15" s="25" customFormat="1" ht="14.25" x14ac:dyDescent="0.2">
      <c r="A140" s="166"/>
      <c r="B140" s="160"/>
      <c r="C140" s="31"/>
      <c r="D140" s="146" t="s">
        <v>288</v>
      </c>
      <c r="E140" s="32"/>
      <c r="F140" s="147"/>
      <c r="G140" s="33"/>
      <c r="H140" s="129"/>
      <c r="I140" s="29"/>
      <c r="J140" s="130"/>
      <c r="K140" s="129"/>
      <c r="L140" s="29"/>
      <c r="M140" s="130"/>
      <c r="N140" s="115"/>
      <c r="O140" s="115"/>
    </row>
    <row r="141" spans="1:15" s="25" customFormat="1" ht="14.25" x14ac:dyDescent="0.2">
      <c r="A141" s="166"/>
      <c r="B141" s="160"/>
      <c r="C141" s="31"/>
      <c r="D141" s="146" t="s">
        <v>288</v>
      </c>
      <c r="E141" s="32"/>
      <c r="F141" s="147"/>
      <c r="G141" s="33"/>
      <c r="H141" s="129"/>
      <c r="I141" s="29"/>
      <c r="J141" s="130"/>
      <c r="K141" s="129"/>
      <c r="L141" s="29"/>
      <c r="M141" s="130"/>
      <c r="N141" s="115"/>
      <c r="O141" s="115"/>
    </row>
    <row r="142" spans="1:15" s="356" customFormat="1" ht="11.25" x14ac:dyDescent="0.2">
      <c r="A142" s="402"/>
      <c r="B142" s="403"/>
      <c r="C142" s="404"/>
      <c r="D142" s="405" t="s">
        <v>435</v>
      </c>
      <c r="E142" s="406"/>
      <c r="F142" s="407"/>
      <c r="G142" s="408"/>
      <c r="H142" s="409"/>
      <c r="I142" s="410"/>
      <c r="J142" s="411"/>
      <c r="K142" s="409"/>
      <c r="L142" s="410"/>
      <c r="M142" s="411"/>
      <c r="N142" s="412"/>
      <c r="O142" s="412"/>
    </row>
    <row r="143" spans="1:15" s="25" customFormat="1" ht="8.25" customHeight="1" x14ac:dyDescent="0.2">
      <c r="A143" s="166"/>
      <c r="B143" s="161"/>
      <c r="C143" s="36"/>
      <c r="D143" s="146" t="s">
        <v>288</v>
      </c>
      <c r="E143" s="32"/>
      <c r="F143" s="147"/>
      <c r="G143" s="33"/>
      <c r="H143" s="129"/>
      <c r="I143" s="29"/>
      <c r="J143" s="130"/>
      <c r="K143" s="129"/>
      <c r="L143" s="29"/>
      <c r="M143" s="130"/>
      <c r="N143" s="115"/>
      <c r="O143" s="115"/>
    </row>
    <row r="144" spans="1:15" s="25" customFormat="1" ht="14.25" x14ac:dyDescent="0.2">
      <c r="A144" s="166"/>
      <c r="B144" s="160"/>
      <c r="C144" s="31"/>
      <c r="D144" s="146" t="s">
        <v>288</v>
      </c>
      <c r="E144" s="32"/>
      <c r="F144" s="147"/>
      <c r="G144" s="33"/>
      <c r="H144" s="129"/>
      <c r="I144" s="29"/>
      <c r="J144" s="130"/>
      <c r="K144" s="129"/>
      <c r="L144" s="29"/>
      <c r="M144" s="130"/>
      <c r="N144" s="115"/>
      <c r="O144" s="115"/>
    </row>
    <row r="145" spans="1:15" s="25" customFormat="1" ht="33.75" x14ac:dyDescent="0.2">
      <c r="A145" s="581" t="s">
        <v>277</v>
      </c>
      <c r="B145" s="582">
        <v>84215</v>
      </c>
      <c r="C145" s="583" t="s">
        <v>613</v>
      </c>
      <c r="D145" s="584" t="s">
        <v>626</v>
      </c>
      <c r="E145" s="583" t="s">
        <v>310</v>
      </c>
      <c r="F145" s="585">
        <f>'MEMÓRIA DE CÁLCULO'!L151+'MEMÓRIA DE CÁLCULO'!M151</f>
        <v>24.15</v>
      </c>
      <c r="G145" s="586"/>
      <c r="H145" s="587">
        <v>19.989999999999998</v>
      </c>
      <c r="I145" s="588">
        <v>12.97</v>
      </c>
      <c r="J145" s="589">
        <f>H145+I145</f>
        <v>32.96</v>
      </c>
      <c r="K145" s="587">
        <f>H145*F145</f>
        <v>482.75849999999991</v>
      </c>
      <c r="L145" s="588">
        <f>I145*F145</f>
        <v>313.22550000000001</v>
      </c>
      <c r="M145" s="589">
        <f>K145+L145</f>
        <v>795.98399999999992</v>
      </c>
      <c r="N145" s="585">
        <f>M145*$N$7</f>
        <v>195.49367039999998</v>
      </c>
      <c r="O145" s="585">
        <f>ROUND(M145+N145,2)</f>
        <v>991.48</v>
      </c>
    </row>
    <row r="146" spans="1:15" s="25" customFormat="1" ht="14.25" x14ac:dyDescent="0.2">
      <c r="A146" s="166"/>
      <c r="B146" s="160"/>
      <c r="C146" s="31"/>
      <c r="D146" s="146" t="s">
        <v>288</v>
      </c>
      <c r="E146" s="32"/>
      <c r="F146" s="147"/>
      <c r="G146" s="33"/>
      <c r="H146" s="129"/>
      <c r="I146" s="29"/>
      <c r="J146" s="130"/>
      <c r="K146" s="129"/>
      <c r="L146" s="29"/>
      <c r="M146" s="130"/>
      <c r="N146" s="115"/>
      <c r="O146" s="115"/>
    </row>
    <row r="147" spans="1:15" s="25" customFormat="1" ht="14.25" x14ac:dyDescent="0.2">
      <c r="A147" s="581" t="s">
        <v>277</v>
      </c>
      <c r="B147" s="582" t="s">
        <v>176</v>
      </c>
      <c r="C147" s="583" t="s">
        <v>614</v>
      </c>
      <c r="D147" s="584" t="s">
        <v>627</v>
      </c>
      <c r="E147" s="583" t="s">
        <v>311</v>
      </c>
      <c r="F147" s="585">
        <f>'MEMÓRIA DE CÁLCULO'!J151+'MEMÓRIA DE CÁLCULO'!K151</f>
        <v>1.335</v>
      </c>
      <c r="G147" s="586"/>
      <c r="H147" s="587">
        <v>291.64999999999998</v>
      </c>
      <c r="I147" s="588">
        <v>35.85</v>
      </c>
      <c r="J147" s="589">
        <f>H147+I147</f>
        <v>327.5</v>
      </c>
      <c r="K147" s="587">
        <f>H147*F147</f>
        <v>389.35274999999996</v>
      </c>
      <c r="L147" s="588">
        <f>I147*F147</f>
        <v>47.859749999999998</v>
      </c>
      <c r="M147" s="589">
        <f>K147+L147</f>
        <v>437.21249999999998</v>
      </c>
      <c r="N147" s="585">
        <f>M147*$N$7</f>
        <v>107.37939</v>
      </c>
      <c r="O147" s="585">
        <f>ROUND(M147+N147,2)</f>
        <v>544.59</v>
      </c>
    </row>
    <row r="148" spans="1:15" s="25" customFormat="1" ht="14.25" x14ac:dyDescent="0.2">
      <c r="A148" s="166"/>
      <c r="B148" s="160"/>
      <c r="C148" s="31"/>
      <c r="D148" s="146" t="s">
        <v>288</v>
      </c>
      <c r="E148" s="32"/>
      <c r="F148" s="147"/>
      <c r="G148" s="33"/>
      <c r="H148" s="129"/>
      <c r="I148" s="29"/>
      <c r="J148" s="130"/>
      <c r="K148" s="129"/>
      <c r="L148" s="29"/>
      <c r="M148" s="130"/>
      <c r="N148" s="115"/>
      <c r="O148" s="115"/>
    </row>
    <row r="149" spans="1:15" s="25" customFormat="1" ht="22.5" x14ac:dyDescent="0.2">
      <c r="A149" s="581" t="s">
        <v>277</v>
      </c>
      <c r="B149" s="582" t="s">
        <v>316</v>
      </c>
      <c r="C149" s="583" t="s">
        <v>615</v>
      </c>
      <c r="D149" s="584" t="s">
        <v>628</v>
      </c>
      <c r="E149" s="583" t="s">
        <v>313</v>
      </c>
      <c r="F149" s="585">
        <f>F147*70</f>
        <v>93.45</v>
      </c>
      <c r="G149" s="586"/>
      <c r="H149" s="587">
        <v>5.22</v>
      </c>
      <c r="I149" s="588">
        <v>2.19</v>
      </c>
      <c r="J149" s="589">
        <f>H149+I149</f>
        <v>7.41</v>
      </c>
      <c r="K149" s="587">
        <f>H149*F149</f>
        <v>487.80899999999997</v>
      </c>
      <c r="L149" s="588">
        <f>I149*F149</f>
        <v>204.65549999999999</v>
      </c>
      <c r="M149" s="589">
        <f>K149+L149</f>
        <v>692.46449999999993</v>
      </c>
      <c r="N149" s="585">
        <f>M149*$N$7</f>
        <v>170.06928119999998</v>
      </c>
      <c r="O149" s="585">
        <f>ROUND(M149+N149,2)</f>
        <v>862.53</v>
      </c>
    </row>
    <row r="150" spans="1:15" s="25" customFormat="1" ht="14.25" x14ac:dyDescent="0.2">
      <c r="A150" s="166"/>
      <c r="B150" s="160"/>
      <c r="C150" s="31"/>
      <c r="D150" s="146" t="s">
        <v>288</v>
      </c>
      <c r="E150" s="32"/>
      <c r="F150" s="147"/>
      <c r="G150" s="33"/>
      <c r="H150" s="129"/>
      <c r="I150" s="29"/>
      <c r="J150" s="130"/>
      <c r="K150" s="129"/>
      <c r="L150" s="29"/>
      <c r="M150" s="130"/>
      <c r="N150" s="115"/>
      <c r="O150" s="115"/>
    </row>
    <row r="151" spans="1:15" s="356" customFormat="1" ht="11.25" x14ac:dyDescent="0.2">
      <c r="A151" s="424"/>
      <c r="B151" s="425"/>
      <c r="C151" s="426"/>
      <c r="D151" s="427" t="s">
        <v>436</v>
      </c>
      <c r="E151" s="428"/>
      <c r="F151" s="429"/>
      <c r="G151" s="430"/>
      <c r="H151" s="431"/>
      <c r="I151" s="432"/>
      <c r="J151" s="433"/>
      <c r="K151" s="431"/>
      <c r="L151" s="432"/>
      <c r="M151" s="433"/>
      <c r="N151" s="434"/>
      <c r="O151" s="434"/>
    </row>
    <row r="152" spans="1:15" s="25" customFormat="1" ht="8.25" customHeight="1" x14ac:dyDescent="0.2">
      <c r="A152" s="166"/>
      <c r="B152" s="161"/>
      <c r="C152" s="36"/>
      <c r="D152" s="146" t="s">
        <v>288</v>
      </c>
      <c r="E152" s="32"/>
      <c r="F152" s="147"/>
      <c r="G152" s="33"/>
      <c r="H152" s="129"/>
      <c r="I152" s="29"/>
      <c r="J152" s="130"/>
      <c r="K152" s="129"/>
      <c r="L152" s="29"/>
      <c r="M152" s="130"/>
      <c r="N152" s="115"/>
      <c r="O152" s="115"/>
    </row>
    <row r="153" spans="1:15" s="25" customFormat="1" ht="14.25" x14ac:dyDescent="0.2">
      <c r="A153" s="166"/>
      <c r="B153" s="160"/>
      <c r="C153" s="31"/>
      <c r="D153" s="146" t="s">
        <v>288</v>
      </c>
      <c r="E153" s="32"/>
      <c r="F153" s="147"/>
      <c r="G153" s="33"/>
      <c r="H153" s="129"/>
      <c r="I153" s="29"/>
      <c r="J153" s="130"/>
      <c r="K153" s="129"/>
      <c r="L153" s="29"/>
      <c r="M153" s="130"/>
      <c r="N153" s="115"/>
      <c r="O153" s="115"/>
    </row>
    <row r="154" spans="1:15" s="25" customFormat="1" ht="33.75" x14ac:dyDescent="0.2">
      <c r="A154" s="581" t="s">
        <v>277</v>
      </c>
      <c r="B154" s="582">
        <v>84215</v>
      </c>
      <c r="C154" s="583" t="s">
        <v>616</v>
      </c>
      <c r="D154" s="584" t="s">
        <v>626</v>
      </c>
      <c r="E154" s="583" t="s">
        <v>310</v>
      </c>
      <c r="F154" s="585">
        <f>'MEMÓRIA DE CÁLCULO'!L168+'MEMÓRIA DE CÁLCULO'!M168</f>
        <v>11.305</v>
      </c>
      <c r="G154" s="586"/>
      <c r="H154" s="587">
        <v>19.989999999999998</v>
      </c>
      <c r="I154" s="588">
        <v>12.97</v>
      </c>
      <c r="J154" s="589">
        <f>H154+I154</f>
        <v>32.96</v>
      </c>
      <c r="K154" s="587">
        <f>H154*F154</f>
        <v>225.98694999999998</v>
      </c>
      <c r="L154" s="588">
        <f>I154*F154</f>
        <v>146.62585000000001</v>
      </c>
      <c r="M154" s="589">
        <f>K154+L154</f>
        <v>372.61279999999999</v>
      </c>
      <c r="N154" s="585">
        <f>M154*$N$7</f>
        <v>91.513703680000006</v>
      </c>
      <c r="O154" s="585">
        <f>ROUND(M154+N154,2)</f>
        <v>464.13</v>
      </c>
    </row>
    <row r="155" spans="1:15" s="25" customFormat="1" ht="14.25" x14ac:dyDescent="0.2">
      <c r="A155" s="166"/>
      <c r="B155" s="160"/>
      <c r="C155" s="31"/>
      <c r="D155" s="146" t="s">
        <v>288</v>
      </c>
      <c r="E155" s="32"/>
      <c r="F155" s="147"/>
      <c r="G155" s="33"/>
      <c r="H155" s="129"/>
      <c r="I155" s="29"/>
      <c r="J155" s="130"/>
      <c r="K155" s="129"/>
      <c r="L155" s="29"/>
      <c r="M155" s="130"/>
      <c r="N155" s="115"/>
      <c r="O155" s="115"/>
    </row>
    <row r="156" spans="1:15" s="25" customFormat="1" ht="14.25" x14ac:dyDescent="0.2">
      <c r="A156" s="581" t="s">
        <v>277</v>
      </c>
      <c r="B156" s="582" t="s">
        <v>176</v>
      </c>
      <c r="C156" s="583" t="s">
        <v>617</v>
      </c>
      <c r="D156" s="584" t="s">
        <v>627</v>
      </c>
      <c r="E156" s="583" t="s">
        <v>311</v>
      </c>
      <c r="F156" s="585">
        <f>'MEMÓRIA DE CÁLCULO'!J168+'MEMÓRIA DE CÁLCULO'!K168</f>
        <v>0.84150000000000003</v>
      </c>
      <c r="G156" s="586"/>
      <c r="H156" s="587">
        <v>291.64999999999998</v>
      </c>
      <c r="I156" s="588">
        <v>35.85</v>
      </c>
      <c r="J156" s="589">
        <f>H156+I156</f>
        <v>327.5</v>
      </c>
      <c r="K156" s="587">
        <f>H156*F156</f>
        <v>245.423475</v>
      </c>
      <c r="L156" s="588">
        <f>I156*F156</f>
        <v>30.167775000000002</v>
      </c>
      <c r="M156" s="589">
        <f>K156+L156</f>
        <v>275.59125</v>
      </c>
      <c r="N156" s="585">
        <f>M156*$N$7</f>
        <v>67.68521100000001</v>
      </c>
      <c r="O156" s="585">
        <f>ROUND(M156+N156,2)</f>
        <v>343.28</v>
      </c>
    </row>
    <row r="157" spans="1:15" s="25" customFormat="1" ht="14.25" x14ac:dyDescent="0.2">
      <c r="A157" s="166"/>
      <c r="B157" s="160"/>
      <c r="C157" s="31"/>
      <c r="D157" s="146" t="s">
        <v>288</v>
      </c>
      <c r="E157" s="32"/>
      <c r="F157" s="147"/>
      <c r="G157" s="33"/>
      <c r="H157" s="129"/>
      <c r="I157" s="29"/>
      <c r="J157" s="130"/>
      <c r="K157" s="129"/>
      <c r="L157" s="29"/>
      <c r="M157" s="130"/>
      <c r="N157" s="115"/>
      <c r="O157" s="115"/>
    </row>
    <row r="158" spans="1:15" s="25" customFormat="1" ht="22.5" x14ac:dyDescent="0.2">
      <c r="A158" s="581" t="s">
        <v>277</v>
      </c>
      <c r="B158" s="582" t="s">
        <v>316</v>
      </c>
      <c r="C158" s="583" t="s">
        <v>618</v>
      </c>
      <c r="D158" s="584" t="s">
        <v>628</v>
      </c>
      <c r="E158" s="583" t="s">
        <v>313</v>
      </c>
      <c r="F158" s="585">
        <f>F156*70</f>
        <v>58.905000000000001</v>
      </c>
      <c r="G158" s="586"/>
      <c r="H158" s="587">
        <v>5.22</v>
      </c>
      <c r="I158" s="588">
        <v>2.19</v>
      </c>
      <c r="J158" s="589">
        <f>H158+I158</f>
        <v>7.41</v>
      </c>
      <c r="K158" s="587">
        <f>H158*F158</f>
        <v>307.48410000000001</v>
      </c>
      <c r="L158" s="588">
        <f>I158*F158</f>
        <v>129.00194999999999</v>
      </c>
      <c r="M158" s="589">
        <f>K158+L158</f>
        <v>436.48604999999998</v>
      </c>
      <c r="N158" s="585">
        <f>M158*$N$7</f>
        <v>107.20097388000001</v>
      </c>
      <c r="O158" s="585">
        <f>ROUND(M158+N158,2)</f>
        <v>543.69000000000005</v>
      </c>
    </row>
    <row r="159" spans="1:15" s="25" customFormat="1" ht="14.25" x14ac:dyDescent="0.2">
      <c r="A159" s="166"/>
      <c r="B159" s="160"/>
      <c r="C159" s="31"/>
      <c r="D159" s="146" t="s">
        <v>288</v>
      </c>
      <c r="E159" s="32"/>
      <c r="F159" s="147"/>
      <c r="G159" s="33"/>
      <c r="H159" s="129"/>
      <c r="I159" s="29"/>
      <c r="J159" s="130"/>
      <c r="K159" s="129"/>
      <c r="L159" s="29"/>
      <c r="M159" s="130"/>
      <c r="N159" s="115"/>
      <c r="O159" s="115"/>
    </row>
    <row r="160" spans="1:15" s="356" customFormat="1" ht="11.25" x14ac:dyDescent="0.2">
      <c r="A160" s="413"/>
      <c r="B160" s="414"/>
      <c r="C160" s="415"/>
      <c r="D160" s="416" t="s">
        <v>437</v>
      </c>
      <c r="E160" s="417"/>
      <c r="F160" s="418"/>
      <c r="G160" s="419"/>
      <c r="H160" s="420"/>
      <c r="I160" s="421"/>
      <c r="J160" s="422"/>
      <c r="K160" s="420"/>
      <c r="L160" s="421"/>
      <c r="M160" s="422"/>
      <c r="N160" s="423"/>
      <c r="O160" s="423"/>
    </row>
    <row r="161" spans="1:16" s="25" customFormat="1" ht="8.25" customHeight="1" x14ac:dyDescent="0.2">
      <c r="A161" s="166"/>
      <c r="B161" s="161"/>
      <c r="C161" s="36"/>
      <c r="D161" s="146" t="s">
        <v>288</v>
      </c>
      <c r="E161" s="32"/>
      <c r="F161" s="147"/>
      <c r="G161" s="33"/>
      <c r="H161" s="129"/>
      <c r="I161" s="29"/>
      <c r="J161" s="130"/>
      <c r="K161" s="129"/>
      <c r="L161" s="29"/>
      <c r="M161" s="130"/>
      <c r="N161" s="115"/>
      <c r="O161" s="115"/>
    </row>
    <row r="162" spans="1:16" s="25" customFormat="1" ht="14.25" x14ac:dyDescent="0.2">
      <c r="A162" s="166"/>
      <c r="B162" s="160"/>
      <c r="C162" s="31"/>
      <c r="D162" s="146" t="s">
        <v>288</v>
      </c>
      <c r="E162" s="32"/>
      <c r="F162" s="147"/>
      <c r="G162" s="33"/>
      <c r="H162" s="129"/>
      <c r="I162" s="29"/>
      <c r="J162" s="130"/>
      <c r="K162" s="129"/>
      <c r="L162" s="29"/>
      <c r="M162" s="130"/>
      <c r="N162" s="115"/>
      <c r="O162" s="115"/>
    </row>
    <row r="163" spans="1:16" s="25" customFormat="1" ht="33.75" x14ac:dyDescent="0.2">
      <c r="A163" s="581" t="s">
        <v>277</v>
      </c>
      <c r="B163" s="582">
        <v>84215</v>
      </c>
      <c r="C163" s="583" t="s">
        <v>619</v>
      </c>
      <c r="D163" s="584" t="s">
        <v>626</v>
      </c>
      <c r="E163" s="583" t="s">
        <v>310</v>
      </c>
      <c r="F163" s="585">
        <f>'MEMÓRIA DE CÁLCULO'!L184+'MEMÓRIA DE CÁLCULO'!M184</f>
        <v>9.94</v>
      </c>
      <c r="G163" s="586"/>
      <c r="H163" s="587">
        <v>19.989999999999998</v>
      </c>
      <c r="I163" s="588">
        <v>12.97</v>
      </c>
      <c r="J163" s="589">
        <f>H163+I163</f>
        <v>32.96</v>
      </c>
      <c r="K163" s="587">
        <f>H163*F163</f>
        <v>198.70059999999998</v>
      </c>
      <c r="L163" s="588">
        <f>I163*F163</f>
        <v>128.92179999999999</v>
      </c>
      <c r="M163" s="589">
        <f>K163+L163</f>
        <v>327.62239999999997</v>
      </c>
      <c r="N163" s="585">
        <f>M163*$N$7</f>
        <v>80.464061439999995</v>
      </c>
      <c r="O163" s="585">
        <f>ROUND(M163+N163,2)</f>
        <v>408.09</v>
      </c>
    </row>
    <row r="164" spans="1:16" s="25" customFormat="1" ht="14.25" x14ac:dyDescent="0.2">
      <c r="A164" s="166"/>
      <c r="B164" s="160"/>
      <c r="C164" s="31"/>
      <c r="D164" s="146" t="s">
        <v>288</v>
      </c>
      <c r="E164" s="32"/>
      <c r="F164" s="147"/>
      <c r="G164" s="33"/>
      <c r="H164" s="129"/>
      <c r="I164" s="29"/>
      <c r="J164" s="130"/>
      <c r="K164" s="129"/>
      <c r="L164" s="29"/>
      <c r="M164" s="130"/>
      <c r="N164" s="115"/>
      <c r="O164" s="115"/>
    </row>
    <row r="165" spans="1:16" s="25" customFormat="1" ht="14.25" x14ac:dyDescent="0.2">
      <c r="A165" s="581" t="s">
        <v>277</v>
      </c>
      <c r="B165" s="582" t="s">
        <v>176</v>
      </c>
      <c r="C165" s="583" t="s">
        <v>620</v>
      </c>
      <c r="D165" s="584" t="s">
        <v>627</v>
      </c>
      <c r="E165" s="583" t="s">
        <v>311</v>
      </c>
      <c r="F165" s="585">
        <f>'MEMÓRIA DE CÁLCULO'!K184+'MEMÓRIA DE CÁLCULO'!J184</f>
        <v>0.91500000000000004</v>
      </c>
      <c r="G165" s="586"/>
      <c r="H165" s="587">
        <v>291.64999999999998</v>
      </c>
      <c r="I165" s="588">
        <v>35.85</v>
      </c>
      <c r="J165" s="589">
        <f>H165+I165</f>
        <v>327.5</v>
      </c>
      <c r="K165" s="587">
        <f>H165*F165</f>
        <v>266.85974999999996</v>
      </c>
      <c r="L165" s="588">
        <f>I165*F165</f>
        <v>32.802750000000003</v>
      </c>
      <c r="M165" s="589">
        <f>K165+L165</f>
        <v>299.66249999999997</v>
      </c>
      <c r="N165" s="585">
        <f>M165*$N$7</f>
        <v>73.597110000000001</v>
      </c>
      <c r="O165" s="585">
        <f>ROUND(M165+N165,2)</f>
        <v>373.26</v>
      </c>
    </row>
    <row r="166" spans="1:16" s="25" customFormat="1" ht="14.25" x14ac:dyDescent="0.2">
      <c r="A166" s="166"/>
      <c r="B166" s="160"/>
      <c r="C166" s="31"/>
      <c r="D166" s="146" t="s">
        <v>288</v>
      </c>
      <c r="E166" s="32"/>
      <c r="F166" s="147"/>
      <c r="G166" s="33"/>
      <c r="H166" s="129"/>
      <c r="I166" s="29"/>
      <c r="J166" s="130"/>
      <c r="K166" s="129"/>
      <c r="L166" s="29"/>
      <c r="M166" s="130"/>
      <c r="N166" s="115"/>
      <c r="O166" s="115"/>
    </row>
    <row r="167" spans="1:16" s="25" customFormat="1" ht="22.5" x14ac:dyDescent="0.2">
      <c r="A167" s="581" t="s">
        <v>277</v>
      </c>
      <c r="B167" s="582" t="s">
        <v>316</v>
      </c>
      <c r="C167" s="583" t="s">
        <v>621</v>
      </c>
      <c r="D167" s="584" t="s">
        <v>628</v>
      </c>
      <c r="E167" s="583" t="s">
        <v>313</v>
      </c>
      <c r="F167" s="585">
        <f>F165*70</f>
        <v>64.05</v>
      </c>
      <c r="G167" s="586"/>
      <c r="H167" s="587">
        <v>5.22</v>
      </c>
      <c r="I167" s="588">
        <v>2.19</v>
      </c>
      <c r="J167" s="589">
        <f>H167+I167</f>
        <v>7.41</v>
      </c>
      <c r="K167" s="587">
        <f>H167*F167</f>
        <v>334.34099999999995</v>
      </c>
      <c r="L167" s="588">
        <f>I167*F167</f>
        <v>140.26949999999999</v>
      </c>
      <c r="M167" s="589">
        <f>K167+L167</f>
        <v>474.61049999999994</v>
      </c>
      <c r="N167" s="585">
        <f>M167*$N$7</f>
        <v>116.56433879999999</v>
      </c>
      <c r="O167" s="585">
        <f>ROUND(M167+N167,2)</f>
        <v>591.16999999999996</v>
      </c>
    </row>
    <row r="168" spans="1:16" s="25" customFormat="1" ht="14.25" x14ac:dyDescent="0.2">
      <c r="A168" s="166"/>
      <c r="B168" s="160"/>
      <c r="C168" s="31"/>
      <c r="D168" s="146" t="s">
        <v>288</v>
      </c>
      <c r="E168" s="32"/>
      <c r="F168" s="147"/>
      <c r="G168" s="33"/>
      <c r="H168" s="129"/>
      <c r="I168" s="29"/>
      <c r="J168" s="130"/>
      <c r="K168" s="129"/>
      <c r="L168" s="29"/>
      <c r="M168" s="130"/>
      <c r="N168" s="115"/>
      <c r="O168" s="115"/>
    </row>
    <row r="169" spans="1:16" s="25" customFormat="1" ht="14.25" x14ac:dyDescent="0.2">
      <c r="A169" s="166"/>
      <c r="B169" s="160"/>
      <c r="C169" s="31"/>
      <c r="D169" s="146" t="s">
        <v>288</v>
      </c>
      <c r="E169" s="32"/>
      <c r="F169" s="147"/>
      <c r="G169" s="33"/>
      <c r="H169" s="129"/>
      <c r="I169" s="29"/>
      <c r="J169" s="130"/>
      <c r="K169" s="129"/>
      <c r="L169" s="29"/>
      <c r="M169" s="130"/>
      <c r="N169" s="115"/>
      <c r="O169" s="115"/>
    </row>
    <row r="170" spans="1:16" s="25" customFormat="1" ht="15.75" x14ac:dyDescent="0.2">
      <c r="A170" s="187"/>
      <c r="B170" s="188"/>
      <c r="C170" s="189">
        <v>5</v>
      </c>
      <c r="D170" s="190" t="s">
        <v>318</v>
      </c>
      <c r="E170" s="191"/>
      <c r="F170" s="190"/>
      <c r="G170" s="191"/>
      <c r="H170" s="192"/>
      <c r="I170" s="193"/>
      <c r="J170" s="194"/>
      <c r="K170" s="192"/>
      <c r="L170" s="193"/>
      <c r="M170" s="194"/>
      <c r="N170" s="195"/>
      <c r="O170" s="196">
        <f>SUM(O175:O250)</f>
        <v>96615.25</v>
      </c>
      <c r="P170" s="855"/>
    </row>
    <row r="171" spans="1:16" s="25" customFormat="1" ht="14.25" x14ac:dyDescent="0.2">
      <c r="A171" s="166"/>
      <c r="B171" s="161"/>
      <c r="C171" s="36"/>
      <c r="D171" s="146" t="s">
        <v>288</v>
      </c>
      <c r="E171" s="32"/>
      <c r="F171" s="147"/>
      <c r="G171" s="33"/>
      <c r="H171" s="129"/>
      <c r="I171" s="29"/>
      <c r="J171" s="130"/>
      <c r="K171" s="129"/>
      <c r="L171" s="29"/>
      <c r="M171" s="130"/>
      <c r="N171" s="115"/>
      <c r="O171" s="115"/>
    </row>
    <row r="172" spans="1:16" s="356" customFormat="1" ht="11.25" x14ac:dyDescent="0.2">
      <c r="A172" s="402"/>
      <c r="B172" s="403"/>
      <c r="C172" s="404"/>
      <c r="D172" s="405" t="s">
        <v>431</v>
      </c>
      <c r="E172" s="406"/>
      <c r="F172" s="407"/>
      <c r="G172" s="408"/>
      <c r="H172" s="409"/>
      <c r="I172" s="410"/>
      <c r="J172" s="411"/>
      <c r="K172" s="409"/>
      <c r="L172" s="410"/>
      <c r="M172" s="411"/>
      <c r="N172" s="412"/>
      <c r="O172" s="412"/>
    </row>
    <row r="173" spans="1:16" s="25" customFormat="1" ht="8.25" customHeight="1" x14ac:dyDescent="0.2">
      <c r="A173" s="166"/>
      <c r="B173" s="161"/>
      <c r="C173" s="36"/>
      <c r="D173" s="146" t="s">
        <v>288</v>
      </c>
      <c r="E173" s="32"/>
      <c r="F173" s="147"/>
      <c r="G173" s="33"/>
      <c r="H173" s="129"/>
      <c r="I173" s="29"/>
      <c r="J173" s="130"/>
      <c r="K173" s="129"/>
      <c r="L173" s="29"/>
      <c r="M173" s="130"/>
      <c r="N173" s="115"/>
      <c r="O173" s="115"/>
    </row>
    <row r="174" spans="1:16" s="25" customFormat="1" ht="14.25" x14ac:dyDescent="0.2">
      <c r="A174" s="167"/>
      <c r="B174" s="149"/>
      <c r="C174" s="152"/>
      <c r="D174" s="154" t="s">
        <v>319</v>
      </c>
      <c r="E174" s="152"/>
      <c r="F174" s="113"/>
      <c r="G174" s="145"/>
      <c r="H174" s="127"/>
      <c r="I174" s="37"/>
      <c r="J174" s="128"/>
      <c r="K174" s="127"/>
      <c r="L174" s="37"/>
      <c r="M174" s="128"/>
      <c r="N174" s="113"/>
      <c r="O174" s="113"/>
    </row>
    <row r="175" spans="1:16" s="25" customFormat="1" ht="8.25" customHeight="1" x14ac:dyDescent="0.2">
      <c r="A175" s="166"/>
      <c r="B175" s="161"/>
      <c r="C175" s="36"/>
      <c r="D175" s="146" t="s">
        <v>288</v>
      </c>
      <c r="E175" s="32"/>
      <c r="F175" s="147"/>
      <c r="G175" s="33"/>
      <c r="H175" s="129"/>
      <c r="I175" s="29"/>
      <c r="J175" s="130"/>
      <c r="K175" s="129"/>
      <c r="L175" s="29"/>
      <c r="M175" s="130"/>
      <c r="N175" s="115"/>
      <c r="O175" s="115"/>
    </row>
    <row r="176" spans="1:16" s="25" customFormat="1" ht="45" x14ac:dyDescent="0.2">
      <c r="A176" s="581" t="s">
        <v>277</v>
      </c>
      <c r="B176" s="582" t="s">
        <v>282</v>
      </c>
      <c r="C176" s="583" t="s">
        <v>622</v>
      </c>
      <c r="D176" s="584" t="s">
        <v>625</v>
      </c>
      <c r="E176" s="583" t="s">
        <v>310</v>
      </c>
      <c r="F176" s="585">
        <f>'MEMÓRIA DE CÁLCULO'!F193</f>
        <v>46.28</v>
      </c>
      <c r="G176" s="586"/>
      <c r="H176" s="587">
        <v>38.18</v>
      </c>
      <c r="I176" s="588">
        <v>20.77</v>
      </c>
      <c r="J176" s="589">
        <f>H176+I176</f>
        <v>58.95</v>
      </c>
      <c r="K176" s="587">
        <f>H176*F176</f>
        <v>1766.9703999999999</v>
      </c>
      <c r="L176" s="588">
        <f>I176*F176</f>
        <v>961.23559999999998</v>
      </c>
      <c r="M176" s="589">
        <f>K176+L176</f>
        <v>2728.2060000000001</v>
      </c>
      <c r="N176" s="585">
        <f>M176*$N$7</f>
        <v>670.04739360000008</v>
      </c>
      <c r="O176" s="585">
        <f>ROUND(M176+N176,2)</f>
        <v>3398.25</v>
      </c>
    </row>
    <row r="177" spans="1:16" s="25" customFormat="1" ht="14.25" x14ac:dyDescent="0.2">
      <c r="A177" s="166"/>
      <c r="B177" s="160"/>
      <c r="C177" s="31"/>
      <c r="D177" s="146" t="s">
        <v>288</v>
      </c>
      <c r="E177" s="32"/>
      <c r="F177" s="147"/>
      <c r="G177" s="33"/>
      <c r="H177" s="129"/>
      <c r="I177" s="29"/>
      <c r="J177" s="130"/>
      <c r="K177" s="129"/>
      <c r="L177" s="29"/>
      <c r="M177" s="130"/>
      <c r="N177" s="115"/>
      <c r="O177" s="115"/>
    </row>
    <row r="178" spans="1:16" s="25" customFormat="1" ht="14.25" x14ac:dyDescent="0.2">
      <c r="A178" s="167"/>
      <c r="B178" s="149"/>
      <c r="C178" s="152"/>
      <c r="D178" s="154" t="s">
        <v>320</v>
      </c>
      <c r="E178" s="152"/>
      <c r="F178" s="113"/>
      <c r="G178" s="145"/>
      <c r="H178" s="127"/>
      <c r="I178" s="37"/>
      <c r="J178" s="128"/>
      <c r="K178" s="127"/>
      <c r="L178" s="37"/>
      <c r="M178" s="128"/>
      <c r="N178" s="113"/>
      <c r="O178" s="113"/>
    </row>
    <row r="179" spans="1:16" s="25" customFormat="1" ht="14.25" x14ac:dyDescent="0.2">
      <c r="A179" s="166"/>
      <c r="B179" s="161"/>
      <c r="C179" s="36"/>
      <c r="D179" s="146" t="s">
        <v>288</v>
      </c>
      <c r="E179" s="32"/>
      <c r="F179" s="147"/>
      <c r="G179" s="33"/>
      <c r="H179" s="129"/>
      <c r="I179" s="29"/>
      <c r="J179" s="130"/>
      <c r="K179" s="129"/>
      <c r="L179" s="29"/>
      <c r="M179" s="130"/>
      <c r="N179" s="115"/>
      <c r="O179" s="115"/>
    </row>
    <row r="180" spans="1:16" s="25" customFormat="1" ht="22.5" x14ac:dyDescent="0.2">
      <c r="A180" s="581" t="s">
        <v>203</v>
      </c>
      <c r="B180" s="582"/>
      <c r="C180" s="583" t="s">
        <v>629</v>
      </c>
      <c r="D180" s="584" t="s">
        <v>623</v>
      </c>
      <c r="E180" s="583" t="s">
        <v>310</v>
      </c>
      <c r="F180" s="585">
        <f>'MEMÓRIA DE CÁLCULO'!F197</f>
        <v>57.694000000000003</v>
      </c>
      <c r="G180" s="586"/>
      <c r="H180" s="588">
        <f>ROUND(SUM(H181),2)</f>
        <v>64.5</v>
      </c>
      <c r="I180" s="588">
        <f>ROUND(SUM(I181),2)</f>
        <v>0</v>
      </c>
      <c r="J180" s="589">
        <f>H180+I180</f>
        <v>64.5</v>
      </c>
      <c r="K180" s="587">
        <f>H180*F180</f>
        <v>3721.2630000000004</v>
      </c>
      <c r="L180" s="588">
        <f>I180*F180</f>
        <v>0</v>
      </c>
      <c r="M180" s="589">
        <f>K180+L180</f>
        <v>3721.2630000000004</v>
      </c>
      <c r="N180" s="585">
        <f>M180*$N$7</f>
        <v>913.94219280000016</v>
      </c>
      <c r="O180" s="585">
        <f>ROUND(M180+N180,2)</f>
        <v>4635.21</v>
      </c>
      <c r="P180" s="855"/>
    </row>
    <row r="181" spans="1:16" s="25" customFormat="1" ht="22.5" x14ac:dyDescent="0.2">
      <c r="A181" s="168"/>
      <c r="B181" s="149"/>
      <c r="C181" s="152"/>
      <c r="D181" s="153" t="str">
        <f>D180</f>
        <v>Parede de gesso acartonado simples interna, espessura final 100 mm, pé-direito conforme projeto arquitetônico - instalado conforme recomendações do fabricante</v>
      </c>
      <c r="E181" s="34" t="s">
        <v>310</v>
      </c>
      <c r="F181" s="148">
        <v>1</v>
      </c>
      <c r="G181" s="35">
        <v>64.5</v>
      </c>
      <c r="H181" s="131">
        <f>F181*G181</f>
        <v>64.5</v>
      </c>
      <c r="I181" s="30"/>
      <c r="J181" s="132"/>
      <c r="K181" s="131"/>
      <c r="L181" s="30"/>
      <c r="M181" s="132"/>
      <c r="N181" s="115"/>
      <c r="O181" s="115"/>
    </row>
    <row r="182" spans="1:16" s="25" customFormat="1" ht="14.25" x14ac:dyDescent="0.2">
      <c r="A182" s="166"/>
      <c r="B182" s="160"/>
      <c r="C182" s="31"/>
      <c r="D182" s="146" t="s">
        <v>288</v>
      </c>
      <c r="E182" s="32"/>
      <c r="F182" s="147"/>
      <c r="G182" s="33"/>
      <c r="H182" s="129"/>
      <c r="I182" s="29"/>
      <c r="J182" s="130"/>
      <c r="K182" s="129"/>
      <c r="L182" s="29"/>
      <c r="M182" s="130"/>
      <c r="N182" s="114"/>
      <c r="O182" s="114"/>
    </row>
    <row r="183" spans="1:16" s="356" customFormat="1" ht="11.25" x14ac:dyDescent="0.2">
      <c r="A183" s="402"/>
      <c r="B183" s="403"/>
      <c r="C183" s="404"/>
      <c r="D183" s="405" t="s">
        <v>435</v>
      </c>
      <c r="E183" s="406"/>
      <c r="F183" s="407"/>
      <c r="G183" s="408"/>
      <c r="H183" s="409"/>
      <c r="I183" s="410"/>
      <c r="J183" s="411"/>
      <c r="K183" s="409"/>
      <c r="L183" s="410"/>
      <c r="M183" s="411"/>
      <c r="N183" s="412"/>
      <c r="O183" s="412"/>
    </row>
    <row r="184" spans="1:16" s="25" customFormat="1" ht="8.25" customHeight="1" x14ac:dyDescent="0.2">
      <c r="A184" s="166"/>
      <c r="B184" s="161"/>
      <c r="C184" s="36"/>
      <c r="D184" s="146" t="s">
        <v>288</v>
      </c>
      <c r="E184" s="32"/>
      <c r="F184" s="147"/>
      <c r="G184" s="33"/>
      <c r="H184" s="129"/>
      <c r="I184" s="29"/>
      <c r="J184" s="130"/>
      <c r="K184" s="129"/>
      <c r="L184" s="29"/>
      <c r="M184" s="130"/>
      <c r="N184" s="115"/>
      <c r="O184" s="115"/>
    </row>
    <row r="185" spans="1:16" s="25" customFormat="1" ht="14.25" x14ac:dyDescent="0.2">
      <c r="A185" s="167"/>
      <c r="B185" s="149"/>
      <c r="C185" s="152"/>
      <c r="D185" s="154" t="s">
        <v>319</v>
      </c>
      <c r="E185" s="152"/>
      <c r="F185" s="113"/>
      <c r="G185" s="145"/>
      <c r="H185" s="127"/>
      <c r="I185" s="37"/>
      <c r="J185" s="128"/>
      <c r="K185" s="127"/>
      <c r="L185" s="37"/>
      <c r="M185" s="128"/>
      <c r="N185" s="113"/>
      <c r="O185" s="113"/>
    </row>
    <row r="186" spans="1:16" s="25" customFormat="1" ht="8.25" customHeight="1" x14ac:dyDescent="0.2">
      <c r="A186" s="166"/>
      <c r="B186" s="161"/>
      <c r="C186" s="36"/>
      <c r="D186" s="146" t="s">
        <v>288</v>
      </c>
      <c r="E186" s="32"/>
      <c r="F186" s="147"/>
      <c r="G186" s="33"/>
      <c r="H186" s="129"/>
      <c r="I186" s="29"/>
      <c r="J186" s="130"/>
      <c r="K186" s="129"/>
      <c r="L186" s="29"/>
      <c r="M186" s="130"/>
      <c r="N186" s="115"/>
      <c r="O186" s="115"/>
    </row>
    <row r="187" spans="1:16" s="25" customFormat="1" ht="45" x14ac:dyDescent="0.2">
      <c r="A187" s="581" t="s">
        <v>277</v>
      </c>
      <c r="B187" s="582" t="s">
        <v>282</v>
      </c>
      <c r="C187" s="583" t="s">
        <v>630</v>
      </c>
      <c r="D187" s="584" t="s">
        <v>625</v>
      </c>
      <c r="E187" s="583" t="s">
        <v>310</v>
      </c>
      <c r="F187" s="585">
        <f>'MEMÓRIA DE CÁLCULO'!F221</f>
        <v>63.936</v>
      </c>
      <c r="G187" s="586"/>
      <c r="H187" s="587">
        <v>38.18</v>
      </c>
      <c r="I187" s="588">
        <v>20.77</v>
      </c>
      <c r="J187" s="589">
        <f>H187+I187</f>
        <v>58.95</v>
      </c>
      <c r="K187" s="587">
        <f>H187*F187</f>
        <v>2441.0764800000002</v>
      </c>
      <c r="L187" s="588">
        <f>I187*F187</f>
        <v>1327.95072</v>
      </c>
      <c r="M187" s="589">
        <f>K187+L187</f>
        <v>3769.0272000000004</v>
      </c>
      <c r="N187" s="585">
        <f>M187*$N$7</f>
        <v>925.67308032000017</v>
      </c>
      <c r="O187" s="585">
        <f>ROUND(M187+N187,2)</f>
        <v>4694.7</v>
      </c>
      <c r="P187" s="855"/>
    </row>
    <row r="188" spans="1:16" s="25" customFormat="1" ht="14.25" x14ac:dyDescent="0.2">
      <c r="A188" s="166"/>
      <c r="B188" s="160"/>
      <c r="C188" s="31"/>
      <c r="D188" s="146" t="s">
        <v>288</v>
      </c>
      <c r="E188" s="32"/>
      <c r="F188" s="147"/>
      <c r="G188" s="33"/>
      <c r="H188" s="129"/>
      <c r="I188" s="29"/>
      <c r="J188" s="130"/>
      <c r="K188" s="129"/>
      <c r="L188" s="29"/>
      <c r="M188" s="130"/>
      <c r="N188" s="115"/>
      <c r="O188" s="115"/>
    </row>
    <row r="189" spans="1:16" s="25" customFormat="1" ht="14.25" x14ac:dyDescent="0.2">
      <c r="A189" s="167"/>
      <c r="B189" s="149"/>
      <c r="C189" s="152"/>
      <c r="D189" s="154" t="s">
        <v>320</v>
      </c>
      <c r="E189" s="152"/>
      <c r="F189" s="113"/>
      <c r="G189" s="145"/>
      <c r="H189" s="127"/>
      <c r="I189" s="37"/>
      <c r="J189" s="128"/>
      <c r="K189" s="127"/>
      <c r="L189" s="37"/>
      <c r="M189" s="128"/>
      <c r="N189" s="113"/>
      <c r="O189" s="113"/>
    </row>
    <row r="190" spans="1:16" s="25" customFormat="1" ht="14.25" x14ac:dyDescent="0.2">
      <c r="A190" s="166"/>
      <c r="B190" s="161"/>
      <c r="C190" s="36"/>
      <c r="D190" s="146" t="s">
        <v>288</v>
      </c>
      <c r="E190" s="32"/>
      <c r="F190" s="147"/>
      <c r="G190" s="33"/>
      <c r="H190" s="129"/>
      <c r="I190" s="29"/>
      <c r="J190" s="130"/>
      <c r="K190" s="129"/>
      <c r="L190" s="29"/>
      <c r="M190" s="130"/>
      <c r="N190" s="115"/>
      <c r="O190" s="115"/>
    </row>
    <row r="191" spans="1:16" s="25" customFormat="1" ht="22.5" x14ac:dyDescent="0.2">
      <c r="A191" s="581" t="s">
        <v>203</v>
      </c>
      <c r="B191" s="582"/>
      <c r="C191" s="583" t="s">
        <v>631</v>
      </c>
      <c r="D191" s="584" t="s">
        <v>623</v>
      </c>
      <c r="E191" s="583" t="s">
        <v>310</v>
      </c>
      <c r="F191" s="585">
        <f>'MEMÓRIA DE CÁLCULO'!F206</f>
        <v>72.900000000000006</v>
      </c>
      <c r="G191" s="586"/>
      <c r="H191" s="588">
        <f>ROUND(SUM(H192),2)</f>
        <v>64.5</v>
      </c>
      <c r="I191" s="588">
        <f>ROUND(SUM(I192),2)</f>
        <v>0</v>
      </c>
      <c r="J191" s="589">
        <f>H191+I191</f>
        <v>64.5</v>
      </c>
      <c r="K191" s="587">
        <f>H191*F191</f>
        <v>4702.05</v>
      </c>
      <c r="L191" s="588">
        <f>I191*F191</f>
        <v>0</v>
      </c>
      <c r="M191" s="589">
        <f>K191+L191</f>
        <v>4702.05</v>
      </c>
      <c r="N191" s="585">
        <f>M191*$N$7</f>
        <v>1154.82348</v>
      </c>
      <c r="O191" s="585">
        <f>ROUND(M191+N191,2)</f>
        <v>5856.87</v>
      </c>
      <c r="P191" s="855"/>
    </row>
    <row r="192" spans="1:16" s="25" customFormat="1" ht="22.5" x14ac:dyDescent="0.2">
      <c r="A192" s="168"/>
      <c r="B192" s="149"/>
      <c r="C192" s="152"/>
      <c r="D192" s="153" t="str">
        <f>D191</f>
        <v>Parede de gesso acartonado simples interna, espessura final 100 mm, pé-direito conforme projeto arquitetônico - instalado conforme recomendações do fabricante</v>
      </c>
      <c r="E192" s="34" t="s">
        <v>310</v>
      </c>
      <c r="F192" s="148">
        <v>1</v>
      </c>
      <c r="G192" s="35">
        <v>64.5</v>
      </c>
      <c r="H192" s="131">
        <f>F192*G192</f>
        <v>64.5</v>
      </c>
      <c r="I192" s="30"/>
      <c r="J192" s="132"/>
      <c r="K192" s="131"/>
      <c r="L192" s="30"/>
      <c r="M192" s="132"/>
      <c r="N192" s="115"/>
      <c r="O192" s="115"/>
    </row>
    <row r="193" spans="1:16" s="25" customFormat="1" ht="14.25" x14ac:dyDescent="0.2">
      <c r="A193" s="166"/>
      <c r="B193" s="160"/>
      <c r="C193" s="31"/>
      <c r="D193" s="146" t="s">
        <v>288</v>
      </c>
      <c r="E193" s="32"/>
      <c r="F193" s="147"/>
      <c r="G193" s="33"/>
      <c r="H193" s="129"/>
      <c r="I193" s="29"/>
      <c r="J193" s="130"/>
      <c r="K193" s="129"/>
      <c r="L193" s="29"/>
      <c r="M193" s="130"/>
      <c r="N193" s="114"/>
      <c r="O193" s="114"/>
    </row>
    <row r="194" spans="1:16" s="25" customFormat="1" ht="33.75" x14ac:dyDescent="0.2">
      <c r="A194" s="581" t="s">
        <v>203</v>
      </c>
      <c r="B194" s="582"/>
      <c r="C194" s="583" t="s">
        <v>632</v>
      </c>
      <c r="D194" s="584" t="s">
        <v>624</v>
      </c>
      <c r="E194" s="583" t="s">
        <v>310</v>
      </c>
      <c r="F194" s="585">
        <f>'MEMÓRIA DE CÁLCULO'!F213</f>
        <v>107.715</v>
      </c>
      <c r="G194" s="586"/>
      <c r="H194" s="588">
        <f>ROUND(SUM(H195),2)</f>
        <v>75.5</v>
      </c>
      <c r="I194" s="588">
        <f>ROUND(SUM(I195),2)</f>
        <v>0</v>
      </c>
      <c r="J194" s="589">
        <f>H194+I194</f>
        <v>75.5</v>
      </c>
      <c r="K194" s="587">
        <f>H194*F194</f>
        <v>8132.4825000000001</v>
      </c>
      <c r="L194" s="588">
        <f>I194*F194</f>
        <v>0</v>
      </c>
      <c r="M194" s="589">
        <f>K194+L194</f>
        <v>8132.4825000000001</v>
      </c>
      <c r="N194" s="585">
        <f>M194*$N$7</f>
        <v>1997.337702</v>
      </c>
      <c r="O194" s="585">
        <f>ROUND(M194+N194,2)</f>
        <v>10129.82</v>
      </c>
      <c r="P194" s="855"/>
    </row>
    <row r="195" spans="1:16" s="25" customFormat="1" ht="33.75" x14ac:dyDescent="0.2">
      <c r="A195" s="168"/>
      <c r="B195" s="149"/>
      <c r="C195" s="152"/>
      <c r="D195" s="153" t="str">
        <f>D194</f>
        <v>Parede de gesso acartonado para parede interna em local úmido, VERDE,  espessura final 125 mm, pé-direito conforme projeto arquitetonico - instalado conforme orinetações do fabricante.</v>
      </c>
      <c r="E195" s="34" t="s">
        <v>310</v>
      </c>
      <c r="F195" s="148">
        <v>1</v>
      </c>
      <c r="G195" s="35">
        <v>75.5</v>
      </c>
      <c r="H195" s="131">
        <f>F195*G195</f>
        <v>75.5</v>
      </c>
      <c r="I195" s="30"/>
      <c r="J195" s="132"/>
      <c r="K195" s="131"/>
      <c r="L195" s="30"/>
      <c r="M195" s="132"/>
      <c r="N195" s="115"/>
      <c r="O195" s="115"/>
    </row>
    <row r="196" spans="1:16" s="25" customFormat="1" ht="14.25" x14ac:dyDescent="0.2">
      <c r="A196" s="166"/>
      <c r="B196" s="160"/>
      <c r="C196" s="31"/>
      <c r="D196" s="146" t="s">
        <v>288</v>
      </c>
      <c r="E196" s="32"/>
      <c r="F196" s="147"/>
      <c r="G196" s="33"/>
      <c r="H196" s="129"/>
      <c r="I196" s="29"/>
      <c r="J196" s="130"/>
      <c r="K196" s="129"/>
      <c r="L196" s="29"/>
      <c r="M196" s="130"/>
      <c r="N196" s="117"/>
      <c r="O196" s="117"/>
    </row>
    <row r="197" spans="1:16" s="25" customFormat="1" ht="22.5" x14ac:dyDescent="0.2">
      <c r="A197" s="581"/>
      <c r="B197" s="582" t="s">
        <v>987</v>
      </c>
      <c r="C197" s="583" t="s">
        <v>633</v>
      </c>
      <c r="D197" s="584" t="s">
        <v>901</v>
      </c>
      <c r="E197" s="583" t="s">
        <v>227</v>
      </c>
      <c r="F197" s="585">
        <v>1</v>
      </c>
      <c r="G197" s="586"/>
      <c r="H197" s="588">
        <f>ROUND(SUM(H198:H202),2)</f>
        <v>897.12</v>
      </c>
      <c r="I197" s="588">
        <f>ROUND(SUM(I198:I202),2)</f>
        <v>120.34</v>
      </c>
      <c r="J197" s="589">
        <f>H197+I197</f>
        <v>1017.46</v>
      </c>
      <c r="K197" s="587">
        <f>H197*F197</f>
        <v>897.12</v>
      </c>
      <c r="L197" s="588">
        <f>I197*F197</f>
        <v>120.34</v>
      </c>
      <c r="M197" s="589">
        <f>K197+L197</f>
        <v>1017.46</v>
      </c>
      <c r="N197" s="585">
        <f>M197*$N$7</f>
        <v>249.88817600000002</v>
      </c>
      <c r="O197" s="585">
        <f>ROUND(M197+N197,2)</f>
        <v>1267.3499999999999</v>
      </c>
      <c r="P197" s="855"/>
    </row>
    <row r="198" spans="1:16" s="25" customFormat="1" ht="14.25" x14ac:dyDescent="0.2">
      <c r="A198" s="168"/>
      <c r="B198" s="159"/>
      <c r="C198" s="34"/>
      <c r="D198" s="153" t="s">
        <v>243</v>
      </c>
      <c r="E198" s="34" t="s">
        <v>229</v>
      </c>
      <c r="F198" s="148">
        <v>5.6</v>
      </c>
      <c r="G198" s="35">
        <v>12.57</v>
      </c>
      <c r="H198" s="133"/>
      <c r="I198" s="35">
        <f>F198*G198</f>
        <v>70.391999999999996</v>
      </c>
      <c r="J198" s="134"/>
      <c r="K198" s="133"/>
      <c r="L198" s="35"/>
      <c r="M198" s="134"/>
      <c r="N198" s="114"/>
      <c r="O198" s="114"/>
    </row>
    <row r="199" spans="1:16" s="25" customFormat="1" ht="14.25" x14ac:dyDescent="0.2">
      <c r="A199" s="168"/>
      <c r="B199" s="159"/>
      <c r="C199" s="34"/>
      <c r="D199" s="153" t="s">
        <v>339</v>
      </c>
      <c r="E199" s="34" t="s">
        <v>229</v>
      </c>
      <c r="F199" s="148">
        <v>5.6</v>
      </c>
      <c r="G199" s="35">
        <v>8.92</v>
      </c>
      <c r="H199" s="133"/>
      <c r="I199" s="35">
        <f>F199*G199</f>
        <v>49.951999999999998</v>
      </c>
      <c r="J199" s="134"/>
      <c r="K199" s="133"/>
      <c r="L199" s="35"/>
      <c r="M199" s="134"/>
      <c r="N199" s="114"/>
      <c r="O199" s="114"/>
    </row>
    <row r="200" spans="1:16" s="25" customFormat="1" ht="14.25" x14ac:dyDescent="0.2">
      <c r="A200" s="168"/>
      <c r="B200" s="159"/>
      <c r="C200" s="34"/>
      <c r="D200" s="153" t="s">
        <v>340</v>
      </c>
      <c r="E200" s="34" t="s">
        <v>253</v>
      </c>
      <c r="F200" s="148">
        <v>2.8</v>
      </c>
      <c r="G200" s="35">
        <v>64.5</v>
      </c>
      <c r="H200" s="133">
        <f>F200*G200</f>
        <v>180.6</v>
      </c>
      <c r="I200" s="35"/>
      <c r="J200" s="134"/>
      <c r="K200" s="133"/>
      <c r="L200" s="35"/>
      <c r="M200" s="134"/>
      <c r="N200" s="114"/>
      <c r="O200" s="114"/>
    </row>
    <row r="201" spans="1:16" s="25" customFormat="1" ht="14.25" x14ac:dyDescent="0.2">
      <c r="A201" s="168"/>
      <c r="B201" s="159"/>
      <c r="C201" s="34"/>
      <c r="D201" s="153" t="s">
        <v>341</v>
      </c>
      <c r="E201" s="34" t="s">
        <v>248</v>
      </c>
      <c r="F201" s="148">
        <v>2.1</v>
      </c>
      <c r="G201" s="35">
        <v>150</v>
      </c>
      <c r="H201" s="133">
        <f>F201*G201</f>
        <v>315</v>
      </c>
      <c r="I201" s="35"/>
      <c r="J201" s="134"/>
      <c r="K201" s="133"/>
      <c r="L201" s="35"/>
      <c r="M201" s="134"/>
      <c r="N201" s="114"/>
      <c r="O201" s="114"/>
    </row>
    <row r="202" spans="1:16" s="25" customFormat="1" ht="23.25" customHeight="1" x14ac:dyDescent="0.2">
      <c r="A202" s="168"/>
      <c r="B202" s="159"/>
      <c r="C202" s="34"/>
      <c r="D202" s="153" t="s">
        <v>1828</v>
      </c>
      <c r="E202" s="34" t="s">
        <v>253</v>
      </c>
      <c r="F202" s="148">
        <v>1.1200000000000001</v>
      </c>
      <c r="G202" s="35">
        <f>239*1.5</f>
        <v>358.5</v>
      </c>
      <c r="H202" s="133">
        <f>F202*G202</f>
        <v>401.52000000000004</v>
      </c>
      <c r="I202" s="35"/>
      <c r="J202" s="134"/>
      <c r="K202" s="133"/>
      <c r="L202" s="35"/>
      <c r="M202" s="134"/>
      <c r="N202" s="114"/>
      <c r="O202" s="114"/>
    </row>
    <row r="203" spans="1:16" x14ac:dyDescent="0.25">
      <c r="A203" s="168"/>
      <c r="B203" s="159"/>
      <c r="C203" s="34"/>
      <c r="D203" s="153"/>
      <c r="E203" s="34"/>
      <c r="F203" s="148"/>
      <c r="G203" s="35"/>
      <c r="H203" s="133"/>
      <c r="I203" s="35"/>
      <c r="J203" s="134"/>
      <c r="K203" s="133"/>
      <c r="L203" s="35"/>
      <c r="M203" s="134"/>
      <c r="N203" s="114"/>
      <c r="O203" s="114"/>
    </row>
    <row r="204" spans="1:16" s="356" customFormat="1" ht="11.25" x14ac:dyDescent="0.2">
      <c r="A204" s="424"/>
      <c r="B204" s="425"/>
      <c r="C204" s="426"/>
      <c r="D204" s="427" t="s">
        <v>436</v>
      </c>
      <c r="E204" s="428"/>
      <c r="F204" s="429"/>
      <c r="G204" s="430"/>
      <c r="H204" s="431"/>
      <c r="I204" s="432"/>
      <c r="J204" s="433"/>
      <c r="K204" s="431"/>
      <c r="L204" s="432"/>
      <c r="M204" s="433"/>
      <c r="N204" s="434"/>
      <c r="O204" s="434"/>
    </row>
    <row r="205" spans="1:16" s="25" customFormat="1" ht="8.25" customHeight="1" x14ac:dyDescent="0.2">
      <c r="A205" s="166"/>
      <c r="B205" s="161"/>
      <c r="C205" s="36"/>
      <c r="D205" s="146" t="s">
        <v>288</v>
      </c>
      <c r="E205" s="32"/>
      <c r="F205" s="147"/>
      <c r="G205" s="33"/>
      <c r="H205" s="129"/>
      <c r="I205" s="29"/>
      <c r="J205" s="130"/>
      <c r="K205" s="129"/>
      <c r="L205" s="29"/>
      <c r="M205" s="130"/>
      <c r="N205" s="115"/>
      <c r="O205" s="115"/>
    </row>
    <row r="206" spans="1:16" s="25" customFormat="1" ht="14.25" x14ac:dyDescent="0.2">
      <c r="A206" s="167"/>
      <c r="B206" s="149"/>
      <c r="C206" s="152"/>
      <c r="D206" s="154" t="s">
        <v>319</v>
      </c>
      <c r="E206" s="152"/>
      <c r="F206" s="113"/>
      <c r="G206" s="145"/>
      <c r="H206" s="127"/>
      <c r="I206" s="37"/>
      <c r="J206" s="128"/>
      <c r="K206" s="127"/>
      <c r="L206" s="37"/>
      <c r="M206" s="128"/>
      <c r="N206" s="113"/>
      <c r="O206" s="113"/>
    </row>
    <row r="207" spans="1:16" s="25" customFormat="1" ht="45" x14ac:dyDescent="0.2">
      <c r="A207" s="581" t="s">
        <v>277</v>
      </c>
      <c r="B207" s="582" t="s">
        <v>282</v>
      </c>
      <c r="C207" s="583" t="s">
        <v>634</v>
      </c>
      <c r="D207" s="584" t="s">
        <v>625</v>
      </c>
      <c r="E207" s="583" t="s">
        <v>310</v>
      </c>
      <c r="F207" s="585">
        <f>'MEMÓRIA DE CÁLCULO'!P168</f>
        <v>2.04</v>
      </c>
      <c r="G207" s="586"/>
      <c r="H207" s="587">
        <v>38.18</v>
      </c>
      <c r="I207" s="588">
        <v>20.77</v>
      </c>
      <c r="J207" s="589">
        <f>H207+I207</f>
        <v>58.95</v>
      </c>
      <c r="K207" s="587">
        <f>H207*F207</f>
        <v>77.887200000000007</v>
      </c>
      <c r="L207" s="588">
        <f>I207*F207</f>
        <v>42.370800000000003</v>
      </c>
      <c r="M207" s="589">
        <f>K207+L207</f>
        <v>120.25800000000001</v>
      </c>
      <c r="N207" s="585">
        <f>M207*$N$7</f>
        <v>29.535364800000004</v>
      </c>
      <c r="O207" s="585">
        <f>ROUND(M207+N207,2)</f>
        <v>149.79</v>
      </c>
    </row>
    <row r="208" spans="1:16" s="25" customFormat="1" ht="14.25" x14ac:dyDescent="0.2">
      <c r="A208" s="166"/>
      <c r="B208" s="160"/>
      <c r="C208" s="31"/>
      <c r="D208" s="146" t="s">
        <v>288</v>
      </c>
      <c r="E208" s="32"/>
      <c r="F208" s="147"/>
      <c r="G208" s="33"/>
      <c r="H208" s="129"/>
      <c r="I208" s="29"/>
      <c r="J208" s="130"/>
      <c r="K208" s="129"/>
      <c r="L208" s="29"/>
      <c r="M208" s="130"/>
      <c r="N208" s="115"/>
      <c r="O208" s="115"/>
    </row>
    <row r="209" spans="1:16" s="25" customFormat="1" ht="8.25" customHeight="1" x14ac:dyDescent="0.2">
      <c r="A209" s="166"/>
      <c r="B209" s="161"/>
      <c r="C209" s="36"/>
      <c r="D209" s="146" t="s">
        <v>288</v>
      </c>
      <c r="E209" s="32"/>
      <c r="F209" s="147"/>
      <c r="G209" s="33"/>
      <c r="H209" s="129"/>
      <c r="I209" s="29"/>
      <c r="J209" s="130"/>
      <c r="K209" s="129"/>
      <c r="L209" s="29"/>
      <c r="M209" s="130"/>
      <c r="N209" s="115"/>
      <c r="O209" s="115"/>
    </row>
    <row r="210" spans="1:16" s="25" customFormat="1" ht="14.25" x14ac:dyDescent="0.2">
      <c r="A210" s="167"/>
      <c r="B210" s="149"/>
      <c r="C210" s="152"/>
      <c r="D210" s="154" t="s">
        <v>320</v>
      </c>
      <c r="E210" s="152"/>
      <c r="F210" s="113"/>
      <c r="G210" s="145"/>
      <c r="H210" s="127"/>
      <c r="I210" s="37"/>
      <c r="J210" s="128"/>
      <c r="K210" s="127"/>
      <c r="L210" s="37"/>
      <c r="M210" s="128"/>
      <c r="N210" s="113"/>
      <c r="O210" s="113"/>
    </row>
    <row r="211" spans="1:16" s="25" customFormat="1" ht="8.25" customHeight="1" x14ac:dyDescent="0.2">
      <c r="A211" s="166"/>
      <c r="B211" s="161"/>
      <c r="C211" s="36"/>
      <c r="D211" s="146" t="s">
        <v>288</v>
      </c>
      <c r="E211" s="32"/>
      <c r="F211" s="147"/>
      <c r="G211" s="33"/>
      <c r="H211" s="129"/>
      <c r="I211" s="29"/>
      <c r="J211" s="130"/>
      <c r="K211" s="129"/>
      <c r="L211" s="29"/>
      <c r="M211" s="130"/>
      <c r="N211" s="115"/>
      <c r="O211" s="115"/>
    </row>
    <row r="212" spans="1:16" s="25" customFormat="1" ht="22.5" x14ac:dyDescent="0.2">
      <c r="A212" s="581" t="s">
        <v>203</v>
      </c>
      <c r="B212" s="582"/>
      <c r="C212" s="583" t="s">
        <v>635</v>
      </c>
      <c r="D212" s="584" t="s">
        <v>623</v>
      </c>
      <c r="E212" s="583" t="s">
        <v>310</v>
      </c>
      <c r="F212" s="585">
        <f>'MEMÓRIA DE CÁLCULO'!F235</f>
        <v>134.298</v>
      </c>
      <c r="G212" s="586"/>
      <c r="H212" s="588">
        <f>ROUND(SUM(H213),2)</f>
        <v>64.5</v>
      </c>
      <c r="I212" s="588">
        <f>ROUND(SUM(I213),2)</f>
        <v>0</v>
      </c>
      <c r="J212" s="589">
        <f>H212+I212</f>
        <v>64.5</v>
      </c>
      <c r="K212" s="587">
        <f>H212*F212</f>
        <v>8662.2209999999995</v>
      </c>
      <c r="L212" s="588">
        <f>I212*F212</f>
        <v>0</v>
      </c>
      <c r="M212" s="589">
        <f>K212+L212</f>
        <v>8662.2209999999995</v>
      </c>
      <c r="N212" s="585">
        <f>M212*$N$7</f>
        <v>2127.4414775999999</v>
      </c>
      <c r="O212" s="585">
        <f>ROUND(M212+N212,2)</f>
        <v>10789.66</v>
      </c>
      <c r="P212" s="855"/>
    </row>
    <row r="213" spans="1:16" s="25" customFormat="1" ht="22.5" x14ac:dyDescent="0.2">
      <c r="A213" s="168"/>
      <c r="B213" s="149"/>
      <c r="C213" s="152"/>
      <c r="D213" s="153" t="str">
        <f>D212</f>
        <v>Parede de gesso acartonado simples interna, espessura final 100 mm, pé-direito conforme projeto arquitetônico - instalado conforme recomendações do fabricante</v>
      </c>
      <c r="E213" s="34" t="s">
        <v>310</v>
      </c>
      <c r="F213" s="148">
        <v>1</v>
      </c>
      <c r="G213" s="35">
        <v>64.5</v>
      </c>
      <c r="H213" s="131">
        <f>F213*G213</f>
        <v>64.5</v>
      </c>
      <c r="I213" s="30"/>
      <c r="J213" s="132"/>
      <c r="K213" s="131"/>
      <c r="L213" s="30"/>
      <c r="M213" s="132"/>
      <c r="N213" s="115"/>
      <c r="O213" s="115"/>
    </row>
    <row r="214" spans="1:16" s="25" customFormat="1" ht="14.25" x14ac:dyDescent="0.2">
      <c r="A214" s="166"/>
      <c r="B214" s="160"/>
      <c r="C214" s="31"/>
      <c r="D214" s="146" t="s">
        <v>288</v>
      </c>
      <c r="E214" s="32"/>
      <c r="F214" s="147"/>
      <c r="G214" s="33"/>
      <c r="H214" s="129"/>
      <c r="I214" s="29"/>
      <c r="J214" s="130"/>
      <c r="K214" s="129"/>
      <c r="L214" s="29"/>
      <c r="M214" s="130"/>
      <c r="N214" s="114"/>
      <c r="O214" s="114"/>
    </row>
    <row r="215" spans="1:16" s="25" customFormat="1" ht="22.5" x14ac:dyDescent="0.2">
      <c r="A215" s="581" t="s">
        <v>203</v>
      </c>
      <c r="B215" s="582"/>
      <c r="C215" s="583" t="s">
        <v>636</v>
      </c>
      <c r="D215" s="584" t="s">
        <v>185</v>
      </c>
      <c r="E215" s="583" t="s">
        <v>310</v>
      </c>
      <c r="F215" s="585">
        <f>'MEMÓRIA DE CÁLCULO'!F245</f>
        <v>126.16799999999998</v>
      </c>
      <c r="G215" s="586"/>
      <c r="H215" s="588">
        <f>ROUND(SUM(H216),2)</f>
        <v>90</v>
      </c>
      <c r="I215" s="588">
        <f>ROUND(SUM(I216),2)</f>
        <v>0</v>
      </c>
      <c r="J215" s="589">
        <f>H215+I215</f>
        <v>90</v>
      </c>
      <c r="K215" s="587">
        <f>H215*F215</f>
        <v>11355.119999999997</v>
      </c>
      <c r="L215" s="588">
        <f>I215*F215</f>
        <v>0</v>
      </c>
      <c r="M215" s="589">
        <f>K215+L215</f>
        <v>11355.119999999997</v>
      </c>
      <c r="N215" s="585">
        <f>M215*$N$7</f>
        <v>2788.8174719999993</v>
      </c>
      <c r="O215" s="585">
        <f>ROUND(M215+N215,2)</f>
        <v>14143.94</v>
      </c>
      <c r="P215" s="855"/>
    </row>
    <row r="216" spans="1:16" s="25" customFormat="1" ht="25.5" customHeight="1" x14ac:dyDescent="0.2">
      <c r="A216" s="168"/>
      <c r="B216" s="149"/>
      <c r="C216" s="152"/>
      <c r="D216" s="153" t="str">
        <f>D215</f>
        <v>Parede de gesso acartonado dupla interna, espessura final 125 mm, pé-direito máximo 3,75 m</v>
      </c>
      <c r="E216" s="34" t="s">
        <v>310</v>
      </c>
      <c r="F216" s="148">
        <v>1</v>
      </c>
      <c r="G216" s="35">
        <v>90</v>
      </c>
      <c r="H216" s="131">
        <f>F216*G216</f>
        <v>90</v>
      </c>
      <c r="I216" s="30"/>
      <c r="J216" s="132"/>
      <c r="K216" s="131"/>
      <c r="L216" s="30"/>
      <c r="M216" s="132"/>
      <c r="N216" s="115"/>
      <c r="O216" s="115"/>
    </row>
    <row r="217" spans="1:16" s="25" customFormat="1" ht="14.25" x14ac:dyDescent="0.2">
      <c r="A217" s="166"/>
      <c r="B217" s="160"/>
      <c r="C217" s="31"/>
      <c r="D217" s="146" t="s">
        <v>288</v>
      </c>
      <c r="E217" s="32"/>
      <c r="F217" s="147"/>
      <c r="G217" s="33"/>
      <c r="H217" s="129"/>
      <c r="I217" s="29"/>
      <c r="J217" s="130"/>
      <c r="K217" s="129"/>
      <c r="L217" s="29"/>
      <c r="M217" s="130"/>
      <c r="N217" s="117"/>
      <c r="O217" s="117"/>
    </row>
    <row r="218" spans="1:16" s="25" customFormat="1" ht="33.75" x14ac:dyDescent="0.2">
      <c r="A218" s="581" t="s">
        <v>203</v>
      </c>
      <c r="B218" s="582"/>
      <c r="C218" s="583" t="s">
        <v>637</v>
      </c>
      <c r="D218" s="584" t="s">
        <v>624</v>
      </c>
      <c r="E218" s="583" t="s">
        <v>310</v>
      </c>
      <c r="F218" s="585">
        <f>'MEMÓRIA DE CÁLCULO'!F241</f>
        <v>72.63</v>
      </c>
      <c r="G218" s="586"/>
      <c r="H218" s="588">
        <f>ROUND(SUM(H219),2)</f>
        <v>75.5</v>
      </c>
      <c r="I218" s="588">
        <f>ROUND(SUM(I219),2)</f>
        <v>0</v>
      </c>
      <c r="J218" s="589">
        <f>H218+I218</f>
        <v>75.5</v>
      </c>
      <c r="K218" s="587">
        <f>H218*F218</f>
        <v>5483.5649999999996</v>
      </c>
      <c r="L218" s="588">
        <f>I218*F218</f>
        <v>0</v>
      </c>
      <c r="M218" s="589">
        <f>K218+L218</f>
        <v>5483.5649999999996</v>
      </c>
      <c r="N218" s="585">
        <f>M218*$N$7</f>
        <v>1346.7635639999999</v>
      </c>
      <c r="O218" s="585">
        <f>ROUND(M218+N218,2)</f>
        <v>6830.33</v>
      </c>
      <c r="P218" s="855"/>
    </row>
    <row r="219" spans="1:16" s="25" customFormat="1" ht="33.75" x14ac:dyDescent="0.2">
      <c r="A219" s="168"/>
      <c r="B219" s="149"/>
      <c r="C219" s="152"/>
      <c r="D219" s="153" t="str">
        <f>D218</f>
        <v>Parede de gesso acartonado para parede interna em local úmido, VERDE,  espessura final 125 mm, pé-direito conforme projeto arquitetonico - instalado conforme orinetações do fabricante.</v>
      </c>
      <c r="E219" s="34" t="s">
        <v>310</v>
      </c>
      <c r="F219" s="148">
        <v>1</v>
      </c>
      <c r="G219" s="35">
        <v>75.5</v>
      </c>
      <c r="H219" s="131">
        <f>F219*G219</f>
        <v>75.5</v>
      </c>
      <c r="I219" s="30"/>
      <c r="J219" s="132"/>
      <c r="K219" s="131"/>
      <c r="L219" s="30"/>
      <c r="M219" s="132"/>
      <c r="N219" s="115"/>
      <c r="O219" s="115"/>
    </row>
    <row r="220" spans="1:16" s="25" customFormat="1" ht="14.25" x14ac:dyDescent="0.2">
      <c r="A220" s="166"/>
      <c r="B220" s="160"/>
      <c r="C220" s="31"/>
      <c r="D220" s="146" t="s">
        <v>288</v>
      </c>
      <c r="E220" s="32"/>
      <c r="F220" s="147"/>
      <c r="G220" s="33"/>
      <c r="H220" s="129"/>
      <c r="I220" s="29"/>
      <c r="J220" s="130"/>
      <c r="K220" s="129"/>
      <c r="L220" s="29"/>
      <c r="M220" s="130"/>
      <c r="N220" s="117"/>
      <c r="O220" s="117"/>
    </row>
    <row r="221" spans="1:16" s="25" customFormat="1" ht="22.5" x14ac:dyDescent="0.2">
      <c r="A221" s="581"/>
      <c r="B221" s="582" t="s">
        <v>987</v>
      </c>
      <c r="C221" s="583" t="s">
        <v>170</v>
      </c>
      <c r="D221" s="584" t="s">
        <v>902</v>
      </c>
      <c r="E221" s="583" t="s">
        <v>227</v>
      </c>
      <c r="F221" s="585">
        <v>1</v>
      </c>
      <c r="G221" s="586"/>
      <c r="H221" s="588">
        <f>ROUND(SUM(H222:H226),2)</f>
        <v>1146.5999999999999</v>
      </c>
      <c r="I221" s="588">
        <f>ROUND(SUM(I222:I226),2)</f>
        <v>167.62</v>
      </c>
      <c r="J221" s="589">
        <f>H221+I221</f>
        <v>1314.2199999999998</v>
      </c>
      <c r="K221" s="587">
        <f>H221*F221</f>
        <v>1146.5999999999999</v>
      </c>
      <c r="L221" s="588">
        <f>I221*F221</f>
        <v>167.62</v>
      </c>
      <c r="M221" s="589">
        <f>K221+L221</f>
        <v>1314.2199999999998</v>
      </c>
      <c r="N221" s="585">
        <f>M221*$N$7</f>
        <v>322.77243199999998</v>
      </c>
      <c r="O221" s="585">
        <f>ROUND(M221+N221,2)</f>
        <v>1636.99</v>
      </c>
      <c r="P221" s="855"/>
    </row>
    <row r="222" spans="1:16" s="25" customFormat="1" ht="14.25" x14ac:dyDescent="0.2">
      <c r="A222" s="168"/>
      <c r="B222" s="159"/>
      <c r="C222" s="34"/>
      <c r="D222" s="153" t="s">
        <v>243</v>
      </c>
      <c r="E222" s="34" t="s">
        <v>229</v>
      </c>
      <c r="F222" s="148">
        <v>7.8</v>
      </c>
      <c r="G222" s="35">
        <v>12.57</v>
      </c>
      <c r="H222" s="133"/>
      <c r="I222" s="35">
        <f>F222*G222</f>
        <v>98.046000000000006</v>
      </c>
      <c r="J222" s="134"/>
      <c r="K222" s="133"/>
      <c r="L222" s="35"/>
      <c r="M222" s="134"/>
      <c r="N222" s="114"/>
      <c r="O222" s="114"/>
    </row>
    <row r="223" spans="1:16" s="25" customFormat="1" ht="14.25" x14ac:dyDescent="0.2">
      <c r="A223" s="168"/>
      <c r="B223" s="159"/>
      <c r="C223" s="34"/>
      <c r="D223" s="153" t="s">
        <v>339</v>
      </c>
      <c r="E223" s="34" t="s">
        <v>229</v>
      </c>
      <c r="F223" s="148">
        <v>7.8</v>
      </c>
      <c r="G223" s="35">
        <v>8.92</v>
      </c>
      <c r="H223" s="133"/>
      <c r="I223" s="35">
        <f>F223*G223</f>
        <v>69.575999999999993</v>
      </c>
      <c r="J223" s="134"/>
      <c r="K223" s="133"/>
      <c r="L223" s="35"/>
      <c r="M223" s="134"/>
      <c r="N223" s="114"/>
      <c r="O223" s="114"/>
    </row>
    <row r="224" spans="1:16" s="25" customFormat="1" ht="14.25" x14ac:dyDescent="0.2">
      <c r="A224" s="168"/>
      <c r="B224" s="159"/>
      <c r="C224" s="34"/>
      <c r="D224" s="153" t="s">
        <v>340</v>
      </c>
      <c r="E224" s="34" t="s">
        <v>253</v>
      </c>
      <c r="F224" s="148">
        <v>4</v>
      </c>
      <c r="G224" s="35">
        <v>64.5</v>
      </c>
      <c r="H224" s="133">
        <f>F224*G224</f>
        <v>258</v>
      </c>
      <c r="I224" s="35"/>
      <c r="J224" s="134"/>
      <c r="K224" s="133"/>
      <c r="L224" s="35"/>
      <c r="M224" s="134"/>
      <c r="N224" s="114"/>
      <c r="O224" s="114"/>
    </row>
    <row r="225" spans="1:16" s="25" customFormat="1" ht="14.25" x14ac:dyDescent="0.2">
      <c r="A225" s="168"/>
      <c r="B225" s="159"/>
      <c r="C225" s="34"/>
      <c r="D225" s="153" t="s">
        <v>341</v>
      </c>
      <c r="E225" s="34" t="s">
        <v>248</v>
      </c>
      <c r="F225" s="148">
        <v>2.1</v>
      </c>
      <c r="G225" s="35">
        <v>150</v>
      </c>
      <c r="H225" s="133">
        <f>F225*G225</f>
        <v>315</v>
      </c>
      <c r="I225" s="35"/>
      <c r="J225" s="134"/>
      <c r="K225" s="133"/>
      <c r="L225" s="35"/>
      <c r="M225" s="134"/>
      <c r="N225" s="114"/>
      <c r="O225" s="114"/>
    </row>
    <row r="226" spans="1:16" s="25" customFormat="1" ht="26.25" customHeight="1" x14ac:dyDescent="0.2">
      <c r="A226" s="168"/>
      <c r="B226" s="159"/>
      <c r="C226" s="34"/>
      <c r="D226" s="153" t="s">
        <v>1828</v>
      </c>
      <c r="E226" s="34" t="s">
        <v>253</v>
      </c>
      <c r="F226" s="148">
        <v>1.6</v>
      </c>
      <c r="G226" s="35">
        <f>239*1.5</f>
        <v>358.5</v>
      </c>
      <c r="H226" s="133">
        <f>F226*G226</f>
        <v>573.6</v>
      </c>
      <c r="I226" s="35"/>
      <c r="J226" s="134"/>
      <c r="K226" s="133"/>
      <c r="L226" s="35"/>
      <c r="M226" s="134"/>
      <c r="N226" s="114"/>
      <c r="O226" s="114"/>
    </row>
    <row r="227" spans="1:16" x14ac:dyDescent="0.25">
      <c r="A227" s="168"/>
      <c r="B227" s="159"/>
      <c r="C227" s="34"/>
      <c r="D227" s="153"/>
      <c r="E227" s="34"/>
      <c r="F227" s="148"/>
      <c r="G227" s="35"/>
      <c r="H227" s="133"/>
      <c r="I227" s="35"/>
      <c r="J227" s="134"/>
      <c r="K227" s="133"/>
      <c r="L227" s="35"/>
      <c r="M227" s="134"/>
      <c r="N227" s="114"/>
      <c r="O227" s="114"/>
    </row>
    <row r="228" spans="1:16" s="356" customFormat="1" ht="11.25" x14ac:dyDescent="0.2">
      <c r="A228" s="413"/>
      <c r="B228" s="414"/>
      <c r="C228" s="415"/>
      <c r="D228" s="416" t="s">
        <v>437</v>
      </c>
      <c r="E228" s="417"/>
      <c r="F228" s="418"/>
      <c r="G228" s="419"/>
      <c r="H228" s="420"/>
      <c r="I228" s="421"/>
      <c r="J228" s="422"/>
      <c r="K228" s="420"/>
      <c r="L228" s="421"/>
      <c r="M228" s="422"/>
      <c r="N228" s="423"/>
      <c r="O228" s="423"/>
    </row>
    <row r="229" spans="1:16" s="25" customFormat="1" ht="8.25" customHeight="1" x14ac:dyDescent="0.2">
      <c r="A229" s="166"/>
      <c r="B229" s="161"/>
      <c r="C229" s="36"/>
      <c r="D229" s="146" t="s">
        <v>288</v>
      </c>
      <c r="E229" s="32"/>
      <c r="F229" s="147"/>
      <c r="G229" s="33"/>
      <c r="H229" s="129"/>
      <c r="I229" s="29"/>
      <c r="J229" s="130"/>
      <c r="K229" s="129"/>
      <c r="L229" s="29"/>
      <c r="M229" s="130"/>
      <c r="N229" s="115"/>
      <c r="O229" s="115"/>
    </row>
    <row r="230" spans="1:16" s="25" customFormat="1" ht="14.25" x14ac:dyDescent="0.2">
      <c r="A230" s="167"/>
      <c r="B230" s="149"/>
      <c r="C230" s="152"/>
      <c r="D230" s="154" t="s">
        <v>319</v>
      </c>
      <c r="E230" s="152"/>
      <c r="F230" s="113"/>
      <c r="G230" s="145"/>
      <c r="H230" s="127"/>
      <c r="I230" s="37"/>
      <c r="J230" s="128"/>
      <c r="K230" s="127"/>
      <c r="L230" s="37"/>
      <c r="M230" s="128"/>
      <c r="N230" s="113"/>
      <c r="O230" s="113"/>
    </row>
    <row r="231" spans="1:16" s="25" customFormat="1" ht="45" x14ac:dyDescent="0.2">
      <c r="A231" s="581" t="s">
        <v>277</v>
      </c>
      <c r="B231" s="582" t="s">
        <v>282</v>
      </c>
      <c r="C231" s="583" t="s">
        <v>171</v>
      </c>
      <c r="D231" s="584" t="s">
        <v>625</v>
      </c>
      <c r="E231" s="583" t="s">
        <v>310</v>
      </c>
      <c r="F231" s="585">
        <f>'MEMÓRIA DE CÁLCULO'!P184</f>
        <v>3.145</v>
      </c>
      <c r="G231" s="586"/>
      <c r="H231" s="587">
        <v>38.18</v>
      </c>
      <c r="I231" s="588">
        <v>20.77</v>
      </c>
      <c r="J231" s="589">
        <f>H231+I231</f>
        <v>58.95</v>
      </c>
      <c r="K231" s="587">
        <f>H231*F231</f>
        <v>120.0761</v>
      </c>
      <c r="L231" s="588">
        <f>I231*F231</f>
        <v>65.321650000000005</v>
      </c>
      <c r="M231" s="589">
        <f>K231+L231</f>
        <v>185.39775</v>
      </c>
      <c r="N231" s="585">
        <f>M231*$N$7</f>
        <v>45.533687400000005</v>
      </c>
      <c r="O231" s="585">
        <f>ROUND(M231+N231,2)</f>
        <v>230.93</v>
      </c>
    </row>
    <row r="232" spans="1:16" s="25" customFormat="1" ht="14.25" x14ac:dyDescent="0.2">
      <c r="A232" s="166"/>
      <c r="B232" s="160"/>
      <c r="C232" s="31"/>
      <c r="D232" s="146" t="s">
        <v>288</v>
      </c>
      <c r="E232" s="32"/>
      <c r="F232" s="147"/>
      <c r="G232" s="33"/>
      <c r="H232" s="129"/>
      <c r="I232" s="29"/>
      <c r="J232" s="130"/>
      <c r="K232" s="129"/>
      <c r="L232" s="29"/>
      <c r="M232" s="130"/>
      <c r="N232" s="115"/>
      <c r="O232" s="115"/>
    </row>
    <row r="233" spans="1:16" s="25" customFormat="1" ht="14.25" x14ac:dyDescent="0.2">
      <c r="A233" s="167"/>
      <c r="B233" s="149"/>
      <c r="C233" s="152"/>
      <c r="D233" s="154" t="s">
        <v>320</v>
      </c>
      <c r="E233" s="152"/>
      <c r="F233" s="113"/>
      <c r="G233" s="145"/>
      <c r="H233" s="127"/>
      <c r="I233" s="37"/>
      <c r="J233" s="128"/>
      <c r="K233" s="127"/>
      <c r="L233" s="37"/>
      <c r="M233" s="128"/>
      <c r="N233" s="113"/>
      <c r="O233" s="113"/>
    </row>
    <row r="234" spans="1:16" s="25" customFormat="1" ht="14.25" x14ac:dyDescent="0.2">
      <c r="A234" s="166"/>
      <c r="B234" s="161"/>
      <c r="C234" s="36"/>
      <c r="D234" s="146" t="s">
        <v>288</v>
      </c>
      <c r="E234" s="32"/>
      <c r="F234" s="147"/>
      <c r="G234" s="33"/>
      <c r="H234" s="129"/>
      <c r="I234" s="29"/>
      <c r="J234" s="130"/>
      <c r="K234" s="129"/>
      <c r="L234" s="29"/>
      <c r="M234" s="130"/>
      <c r="N234" s="115"/>
      <c r="O234" s="115"/>
    </row>
    <row r="235" spans="1:16" s="25" customFormat="1" ht="22.5" x14ac:dyDescent="0.2">
      <c r="A235" s="581" t="s">
        <v>203</v>
      </c>
      <c r="B235" s="582"/>
      <c r="C235" s="583" t="s">
        <v>638</v>
      </c>
      <c r="D235" s="584" t="s">
        <v>623</v>
      </c>
      <c r="E235" s="583" t="s">
        <v>310</v>
      </c>
      <c r="F235" s="585">
        <f>'MEMÓRIA DE CÁLCULO'!F254</f>
        <v>115.39800000000001</v>
      </c>
      <c r="G235" s="586"/>
      <c r="H235" s="588">
        <f>ROUND(SUM(H236),2)</f>
        <v>64.5</v>
      </c>
      <c r="I235" s="588">
        <f>ROUND(SUM(I236),2)</f>
        <v>0</v>
      </c>
      <c r="J235" s="589">
        <f>H235+I235</f>
        <v>64.5</v>
      </c>
      <c r="K235" s="587">
        <f>H235*F235</f>
        <v>7443.1710000000003</v>
      </c>
      <c r="L235" s="588">
        <f>I235*F235</f>
        <v>0</v>
      </c>
      <c r="M235" s="589">
        <f>K235+L235</f>
        <v>7443.1710000000003</v>
      </c>
      <c r="N235" s="585">
        <f>M235*$N$7</f>
        <v>1828.0427976000001</v>
      </c>
      <c r="O235" s="585">
        <f>ROUND(M235+N235,2)</f>
        <v>9271.2099999999991</v>
      </c>
      <c r="P235" s="855"/>
    </row>
    <row r="236" spans="1:16" s="25" customFormat="1" ht="22.5" x14ac:dyDescent="0.2">
      <c r="A236" s="168"/>
      <c r="B236" s="149"/>
      <c r="C236" s="152"/>
      <c r="D236" s="153" t="str">
        <f>D235</f>
        <v>Parede de gesso acartonado simples interna, espessura final 100 mm, pé-direito conforme projeto arquitetônico - instalado conforme recomendações do fabricante</v>
      </c>
      <c r="E236" s="34" t="s">
        <v>310</v>
      </c>
      <c r="F236" s="148">
        <v>1</v>
      </c>
      <c r="G236" s="35">
        <v>64.5</v>
      </c>
      <c r="H236" s="131">
        <f>F236*G236</f>
        <v>64.5</v>
      </c>
      <c r="I236" s="30"/>
      <c r="J236" s="132"/>
      <c r="K236" s="131"/>
      <c r="L236" s="30"/>
      <c r="M236" s="132"/>
      <c r="N236" s="115"/>
      <c r="O236" s="115"/>
    </row>
    <row r="237" spans="1:16" s="25" customFormat="1" ht="14.25" x14ac:dyDescent="0.2">
      <c r="A237" s="166"/>
      <c r="B237" s="160"/>
      <c r="C237" s="31"/>
      <c r="D237" s="146" t="s">
        <v>288</v>
      </c>
      <c r="E237" s="32"/>
      <c r="F237" s="147"/>
      <c r="G237" s="33"/>
      <c r="H237" s="129"/>
      <c r="I237" s="29"/>
      <c r="J237" s="130"/>
      <c r="K237" s="129"/>
      <c r="L237" s="29"/>
      <c r="M237" s="130"/>
      <c r="N237" s="114"/>
      <c r="O237" s="114"/>
    </row>
    <row r="238" spans="1:16" s="25" customFormat="1" ht="22.5" x14ac:dyDescent="0.2">
      <c r="A238" s="581" t="s">
        <v>203</v>
      </c>
      <c r="B238" s="582"/>
      <c r="C238" s="583" t="s">
        <v>940</v>
      </c>
      <c r="D238" s="584" t="s">
        <v>185</v>
      </c>
      <c r="E238" s="583" t="s">
        <v>310</v>
      </c>
      <c r="F238" s="585">
        <f>'MEMÓRIA DE CÁLCULO'!F264</f>
        <v>126.476</v>
      </c>
      <c r="G238" s="586"/>
      <c r="H238" s="588">
        <f>ROUND(SUM(H239),2)</f>
        <v>90</v>
      </c>
      <c r="I238" s="588">
        <f>ROUND(SUM(I239),2)</f>
        <v>0</v>
      </c>
      <c r="J238" s="589">
        <f>H238+I238</f>
        <v>90</v>
      </c>
      <c r="K238" s="587">
        <f>H238*F238</f>
        <v>11382.84</v>
      </c>
      <c r="L238" s="588">
        <f>I238*F238</f>
        <v>0</v>
      </c>
      <c r="M238" s="589">
        <f>K238+L238</f>
        <v>11382.84</v>
      </c>
      <c r="N238" s="585">
        <f>M238*$N$7</f>
        <v>2795.6255040000001</v>
      </c>
      <c r="O238" s="585">
        <f>ROUND(M238+N238,2)</f>
        <v>14178.47</v>
      </c>
      <c r="P238" s="855"/>
    </row>
    <row r="239" spans="1:16" s="25" customFormat="1" ht="22.5" x14ac:dyDescent="0.2">
      <c r="A239" s="168"/>
      <c r="B239" s="149"/>
      <c r="C239" s="152"/>
      <c r="D239" s="153" t="str">
        <f>D238</f>
        <v>Parede de gesso acartonado dupla interna, espessura final 125 mm, pé-direito máximo 3,75 m</v>
      </c>
      <c r="E239" s="34" t="s">
        <v>310</v>
      </c>
      <c r="F239" s="148">
        <v>1</v>
      </c>
      <c r="G239" s="35">
        <v>90</v>
      </c>
      <c r="H239" s="131">
        <f>F239*G239</f>
        <v>90</v>
      </c>
      <c r="I239" s="30"/>
      <c r="J239" s="132"/>
      <c r="K239" s="131"/>
      <c r="L239" s="30"/>
      <c r="M239" s="132"/>
      <c r="N239" s="115"/>
      <c r="O239" s="115"/>
    </row>
    <row r="240" spans="1:16" s="25" customFormat="1" ht="14.25" x14ac:dyDescent="0.2">
      <c r="A240" s="166"/>
      <c r="B240" s="160"/>
      <c r="C240" s="31"/>
      <c r="D240" s="146" t="s">
        <v>288</v>
      </c>
      <c r="E240" s="32"/>
      <c r="F240" s="147"/>
      <c r="G240" s="33"/>
      <c r="H240" s="129"/>
      <c r="I240" s="29"/>
      <c r="J240" s="130"/>
      <c r="K240" s="129"/>
      <c r="L240" s="29"/>
      <c r="M240" s="130"/>
      <c r="N240" s="117"/>
      <c r="O240" s="117"/>
    </row>
    <row r="241" spans="1:16" s="25" customFormat="1" ht="33.75" x14ac:dyDescent="0.2">
      <c r="A241" s="581" t="s">
        <v>203</v>
      </c>
      <c r="B241" s="582"/>
      <c r="C241" s="583" t="s">
        <v>941</v>
      </c>
      <c r="D241" s="584" t="s">
        <v>624</v>
      </c>
      <c r="E241" s="583" t="s">
        <v>310</v>
      </c>
      <c r="F241" s="585">
        <f>'MEMÓRIA DE CÁLCULO'!F260</f>
        <v>82.566000000000003</v>
      </c>
      <c r="G241" s="586"/>
      <c r="H241" s="588">
        <f>ROUND(SUM(H242),2)</f>
        <v>75.5</v>
      </c>
      <c r="I241" s="588">
        <f>ROUND(SUM(I242),2)</f>
        <v>0</v>
      </c>
      <c r="J241" s="589">
        <f>H241+I241</f>
        <v>75.5</v>
      </c>
      <c r="K241" s="587">
        <f>H241*F241</f>
        <v>6233.7330000000002</v>
      </c>
      <c r="L241" s="588">
        <f>I241*F241</f>
        <v>0</v>
      </c>
      <c r="M241" s="589">
        <f>K241+L241</f>
        <v>6233.7330000000002</v>
      </c>
      <c r="N241" s="585">
        <f>M241*$N$7</f>
        <v>1531.0048248000001</v>
      </c>
      <c r="O241" s="585">
        <f>ROUND(M241+N241,2)</f>
        <v>7764.74</v>
      </c>
      <c r="P241" s="855"/>
    </row>
    <row r="242" spans="1:16" s="25" customFormat="1" ht="33.75" x14ac:dyDescent="0.2">
      <c r="A242" s="168"/>
      <c r="B242" s="149"/>
      <c r="C242" s="152"/>
      <c r="D242" s="153" t="str">
        <f>D241</f>
        <v>Parede de gesso acartonado para parede interna em local úmido, VERDE,  espessura final 125 mm, pé-direito conforme projeto arquitetonico - instalado conforme orinetações do fabricante.</v>
      </c>
      <c r="E242" s="34" t="s">
        <v>310</v>
      </c>
      <c r="F242" s="148">
        <v>1</v>
      </c>
      <c r="G242" s="35">
        <v>75.5</v>
      </c>
      <c r="H242" s="131">
        <f>F242*G242</f>
        <v>75.5</v>
      </c>
      <c r="I242" s="30"/>
      <c r="J242" s="132"/>
      <c r="K242" s="131"/>
      <c r="L242" s="30"/>
      <c r="M242" s="132"/>
      <c r="N242" s="115"/>
      <c r="O242" s="115"/>
    </row>
    <row r="243" spans="1:16" s="25" customFormat="1" ht="14.25" x14ac:dyDescent="0.2">
      <c r="A243" s="166"/>
      <c r="B243" s="160"/>
      <c r="C243" s="31"/>
      <c r="D243" s="146" t="s">
        <v>288</v>
      </c>
      <c r="E243" s="32"/>
      <c r="F243" s="147"/>
      <c r="G243" s="33"/>
      <c r="H243" s="129"/>
      <c r="I243" s="29"/>
      <c r="J243" s="130"/>
      <c r="K243" s="129"/>
      <c r="L243" s="29"/>
      <c r="M243" s="130"/>
      <c r="N243" s="117"/>
      <c r="O243" s="117"/>
    </row>
    <row r="244" spans="1:16" s="25" customFormat="1" ht="33.75" x14ac:dyDescent="0.2">
      <c r="A244" s="581"/>
      <c r="B244" s="582" t="s">
        <v>987</v>
      </c>
      <c r="C244" s="583" t="s">
        <v>942</v>
      </c>
      <c r="D244" s="584" t="s">
        <v>900</v>
      </c>
      <c r="E244" s="583" t="s">
        <v>227</v>
      </c>
      <c r="F244" s="585">
        <v>1</v>
      </c>
      <c r="G244" s="586"/>
      <c r="H244" s="588">
        <f>ROUND(SUM(H245:H249),2)</f>
        <v>1146.5999999999999</v>
      </c>
      <c r="I244" s="588">
        <f>ROUND(SUM(I245:I249),2)</f>
        <v>167.62</v>
      </c>
      <c r="J244" s="589">
        <f>H244+I244</f>
        <v>1314.2199999999998</v>
      </c>
      <c r="K244" s="587">
        <f>H244*F244</f>
        <v>1146.5999999999999</v>
      </c>
      <c r="L244" s="588">
        <f>I244*F244</f>
        <v>167.62</v>
      </c>
      <c r="M244" s="589">
        <f>K244+L244</f>
        <v>1314.2199999999998</v>
      </c>
      <c r="N244" s="585">
        <f>M244*$N$7</f>
        <v>322.77243199999998</v>
      </c>
      <c r="O244" s="585">
        <f>ROUND(M244+N244,2)</f>
        <v>1636.99</v>
      </c>
      <c r="P244" s="855"/>
    </row>
    <row r="245" spans="1:16" s="25" customFormat="1" ht="14.25" x14ac:dyDescent="0.2">
      <c r="A245" s="168"/>
      <c r="B245" s="159"/>
      <c r="C245" s="34"/>
      <c r="D245" s="153" t="s">
        <v>243</v>
      </c>
      <c r="E245" s="34" t="s">
        <v>229</v>
      </c>
      <c r="F245" s="148">
        <v>7.8</v>
      </c>
      <c r="G245" s="35">
        <v>12.57</v>
      </c>
      <c r="H245" s="133"/>
      <c r="I245" s="35">
        <f>F245*G245</f>
        <v>98.046000000000006</v>
      </c>
      <c r="J245" s="134"/>
      <c r="K245" s="133"/>
      <c r="L245" s="35"/>
      <c r="M245" s="134"/>
      <c r="N245" s="114"/>
      <c r="O245" s="114"/>
    </row>
    <row r="246" spans="1:16" s="25" customFormat="1" ht="14.25" x14ac:dyDescent="0.2">
      <c r="A246" s="168"/>
      <c r="B246" s="159"/>
      <c r="C246" s="34"/>
      <c r="D246" s="153" t="s">
        <v>339</v>
      </c>
      <c r="E246" s="34" t="s">
        <v>229</v>
      </c>
      <c r="F246" s="148">
        <v>7.8</v>
      </c>
      <c r="G246" s="35">
        <v>8.92</v>
      </c>
      <c r="H246" s="133"/>
      <c r="I246" s="35">
        <f>F246*G246</f>
        <v>69.575999999999993</v>
      </c>
      <c r="J246" s="134"/>
      <c r="K246" s="133"/>
      <c r="L246" s="35"/>
      <c r="M246" s="134"/>
      <c r="N246" s="114"/>
      <c r="O246" s="114"/>
    </row>
    <row r="247" spans="1:16" s="25" customFormat="1" ht="14.25" x14ac:dyDescent="0.2">
      <c r="A247" s="168"/>
      <c r="B247" s="159"/>
      <c r="C247" s="34"/>
      <c r="D247" s="153" t="s">
        <v>340</v>
      </c>
      <c r="E247" s="34" t="s">
        <v>253</v>
      </c>
      <c r="F247" s="148">
        <v>4</v>
      </c>
      <c r="G247" s="35">
        <v>64.5</v>
      </c>
      <c r="H247" s="133">
        <f>F247*G247</f>
        <v>258</v>
      </c>
      <c r="I247" s="35"/>
      <c r="J247" s="134"/>
      <c r="K247" s="133"/>
      <c r="L247" s="35"/>
      <c r="M247" s="134"/>
      <c r="N247" s="114"/>
      <c r="O247" s="114"/>
    </row>
    <row r="248" spans="1:16" s="25" customFormat="1" ht="14.25" x14ac:dyDescent="0.2">
      <c r="A248" s="168"/>
      <c r="B248" s="159"/>
      <c r="C248" s="34"/>
      <c r="D248" s="153" t="s">
        <v>341</v>
      </c>
      <c r="E248" s="34" t="s">
        <v>248</v>
      </c>
      <c r="F248" s="148">
        <v>2.1</v>
      </c>
      <c r="G248" s="35">
        <v>150</v>
      </c>
      <c r="H248" s="133">
        <f>F248*G248</f>
        <v>315</v>
      </c>
      <c r="I248" s="35"/>
      <c r="J248" s="134"/>
      <c r="K248" s="133"/>
      <c r="L248" s="35"/>
      <c r="M248" s="134"/>
      <c r="N248" s="114"/>
      <c r="O248" s="114"/>
    </row>
    <row r="249" spans="1:16" s="25" customFormat="1" ht="26.25" customHeight="1" x14ac:dyDescent="0.2">
      <c r="A249" s="168"/>
      <c r="B249" s="159"/>
      <c r="C249" s="34"/>
      <c r="D249" s="153" t="s">
        <v>1828</v>
      </c>
      <c r="E249" s="34" t="s">
        <v>253</v>
      </c>
      <c r="F249" s="148">
        <v>1.6</v>
      </c>
      <c r="G249" s="35">
        <f>239*1.5</f>
        <v>358.5</v>
      </c>
      <c r="H249" s="133">
        <f>F249*G249</f>
        <v>573.6</v>
      </c>
      <c r="I249" s="35"/>
      <c r="J249" s="134"/>
      <c r="K249" s="133"/>
      <c r="L249" s="35"/>
      <c r="M249" s="134"/>
      <c r="N249" s="114"/>
      <c r="O249" s="114"/>
    </row>
    <row r="250" spans="1:16" x14ac:dyDescent="0.25">
      <c r="A250" s="168"/>
      <c r="B250" s="159"/>
      <c r="C250" s="34"/>
      <c r="D250" s="153"/>
      <c r="E250" s="34"/>
      <c r="F250" s="148"/>
      <c r="G250" s="35"/>
      <c r="H250" s="133"/>
      <c r="I250" s="35"/>
      <c r="J250" s="134"/>
      <c r="K250" s="133"/>
      <c r="L250" s="35"/>
      <c r="M250" s="134"/>
      <c r="N250" s="114"/>
      <c r="O250" s="114"/>
    </row>
    <row r="251" spans="1:16" s="25" customFormat="1" ht="15.75" x14ac:dyDescent="0.2">
      <c r="A251" s="187"/>
      <c r="B251" s="188"/>
      <c r="C251" s="189">
        <v>6</v>
      </c>
      <c r="D251" s="190" t="s">
        <v>321</v>
      </c>
      <c r="E251" s="191"/>
      <c r="F251" s="190"/>
      <c r="G251" s="191"/>
      <c r="H251" s="192"/>
      <c r="I251" s="193"/>
      <c r="J251" s="194"/>
      <c r="K251" s="192"/>
      <c r="L251" s="193"/>
      <c r="M251" s="194"/>
      <c r="N251" s="195"/>
      <c r="O251" s="196">
        <f>SUM(O257:O485)</f>
        <v>132357.4</v>
      </c>
    </row>
    <row r="252" spans="1:16" s="25" customFormat="1" ht="14.25" x14ac:dyDescent="0.2">
      <c r="A252" s="166"/>
      <c r="B252" s="160"/>
      <c r="C252" s="31"/>
      <c r="D252" s="146" t="s">
        <v>288</v>
      </c>
      <c r="E252" s="32"/>
      <c r="F252" s="147"/>
      <c r="G252" s="33"/>
      <c r="H252" s="129"/>
      <c r="I252" s="29"/>
      <c r="J252" s="130"/>
      <c r="K252" s="129"/>
      <c r="L252" s="29"/>
      <c r="M252" s="130"/>
      <c r="N252" s="115"/>
      <c r="O252" s="115"/>
    </row>
    <row r="253" spans="1:16" s="356" customFormat="1" ht="11.25" x14ac:dyDescent="0.2">
      <c r="A253" s="402"/>
      <c r="B253" s="403"/>
      <c r="C253" s="404"/>
      <c r="D253" s="405" t="s">
        <v>431</v>
      </c>
      <c r="E253" s="406"/>
      <c r="F253" s="407"/>
      <c r="G253" s="408"/>
      <c r="H253" s="409"/>
      <c r="I253" s="410"/>
      <c r="J253" s="411"/>
      <c r="K253" s="409"/>
      <c r="L253" s="410"/>
      <c r="M253" s="411"/>
      <c r="N253" s="412"/>
      <c r="O253" s="412"/>
    </row>
    <row r="254" spans="1:16" s="25" customFormat="1" ht="8.25" customHeight="1" x14ac:dyDescent="0.2">
      <c r="A254" s="166"/>
      <c r="B254" s="161"/>
      <c r="C254" s="36"/>
      <c r="D254" s="146" t="s">
        <v>288</v>
      </c>
      <c r="E254" s="32"/>
      <c r="F254" s="147"/>
      <c r="G254" s="33"/>
      <c r="H254" s="129"/>
      <c r="I254" s="29"/>
      <c r="J254" s="130"/>
      <c r="K254" s="129"/>
      <c r="L254" s="29"/>
      <c r="M254" s="130"/>
      <c r="N254" s="115"/>
      <c r="O254" s="115"/>
    </row>
    <row r="255" spans="1:16" s="25" customFormat="1" ht="14.25" x14ac:dyDescent="0.2">
      <c r="A255" s="167"/>
      <c r="B255" s="149"/>
      <c r="C255" s="152"/>
      <c r="D255" s="154" t="s">
        <v>322</v>
      </c>
      <c r="E255" s="152"/>
      <c r="F255" s="113"/>
      <c r="G255" s="145"/>
      <c r="H255" s="127"/>
      <c r="I255" s="37"/>
      <c r="J255" s="128"/>
      <c r="K255" s="127"/>
      <c r="L255" s="37"/>
      <c r="M255" s="128"/>
      <c r="N255" s="113"/>
      <c r="O255" s="113"/>
    </row>
    <row r="256" spans="1:16" s="25" customFormat="1" ht="10.5" customHeight="1" x14ac:dyDescent="0.2">
      <c r="A256" s="166"/>
      <c r="B256" s="160"/>
      <c r="C256" s="31"/>
      <c r="D256" s="146" t="s">
        <v>288</v>
      </c>
      <c r="E256" s="32"/>
      <c r="F256" s="147"/>
      <c r="G256" s="33"/>
      <c r="H256" s="129"/>
      <c r="I256" s="29"/>
      <c r="J256" s="130"/>
      <c r="K256" s="129"/>
      <c r="L256" s="29"/>
      <c r="M256" s="130"/>
      <c r="N256" s="115"/>
      <c r="O256" s="115"/>
    </row>
    <row r="257" spans="1:15" s="25" customFormat="1" ht="45" x14ac:dyDescent="0.2">
      <c r="A257" s="581" t="s">
        <v>277</v>
      </c>
      <c r="B257" s="582" t="s">
        <v>354</v>
      </c>
      <c r="C257" s="583" t="s">
        <v>184</v>
      </c>
      <c r="D257" s="584" t="s">
        <v>669</v>
      </c>
      <c r="E257" s="583" t="s">
        <v>281</v>
      </c>
      <c r="F257" s="585">
        <f>'MEMÓRIA DE CÁLCULO'!D132</f>
        <v>4</v>
      </c>
      <c r="G257" s="586"/>
      <c r="H257" s="587">
        <f>249.24+108.41</f>
        <v>357.65</v>
      </c>
      <c r="I257" s="588">
        <v>98.25</v>
      </c>
      <c r="J257" s="589">
        <f>H257+I257</f>
        <v>455.9</v>
      </c>
      <c r="K257" s="587">
        <f>H257*F257</f>
        <v>1430.6</v>
      </c>
      <c r="L257" s="588">
        <f>I257*F257</f>
        <v>393</v>
      </c>
      <c r="M257" s="589">
        <f>K257+L257</f>
        <v>1823.6</v>
      </c>
      <c r="N257" s="585">
        <f>M257*$N$7</f>
        <v>447.87616000000003</v>
      </c>
      <c r="O257" s="585">
        <f>ROUND(M257+N257,2)</f>
        <v>2271.48</v>
      </c>
    </row>
    <row r="258" spans="1:15" s="25" customFormat="1" ht="14.25" x14ac:dyDescent="0.2">
      <c r="A258" s="166"/>
      <c r="B258" s="160"/>
      <c r="C258" s="31"/>
      <c r="D258" s="146" t="s">
        <v>288</v>
      </c>
      <c r="E258" s="32"/>
      <c r="F258" s="147"/>
      <c r="G258" s="33"/>
      <c r="H258" s="129"/>
      <c r="I258" s="29"/>
      <c r="J258" s="130"/>
      <c r="K258" s="129"/>
      <c r="L258" s="29"/>
      <c r="M258" s="130"/>
      <c r="N258" s="115"/>
      <c r="O258" s="115"/>
    </row>
    <row r="259" spans="1:15" s="25" customFormat="1" ht="14.25" x14ac:dyDescent="0.2">
      <c r="A259" s="167"/>
      <c r="B259" s="149"/>
      <c r="C259" s="152"/>
      <c r="D259" s="154" t="s">
        <v>295</v>
      </c>
      <c r="E259" s="152"/>
      <c r="F259" s="113"/>
      <c r="G259" s="145"/>
      <c r="H259" s="127"/>
      <c r="I259" s="37"/>
      <c r="J259" s="128"/>
      <c r="K259" s="127"/>
      <c r="L259" s="37"/>
      <c r="M259" s="128"/>
      <c r="N259" s="113"/>
      <c r="O259" s="113"/>
    </row>
    <row r="260" spans="1:15" s="25" customFormat="1" ht="14.25" x14ac:dyDescent="0.2">
      <c r="A260" s="166"/>
      <c r="B260" s="160"/>
      <c r="C260" s="31"/>
      <c r="D260" s="146" t="s">
        <v>288</v>
      </c>
      <c r="E260" s="32"/>
      <c r="F260" s="147"/>
      <c r="G260" s="33"/>
      <c r="H260" s="129"/>
      <c r="I260" s="29"/>
      <c r="J260" s="130"/>
      <c r="K260" s="129"/>
      <c r="L260" s="29"/>
      <c r="M260" s="130"/>
      <c r="N260" s="117"/>
      <c r="O260" s="117"/>
    </row>
    <row r="261" spans="1:15" s="25" customFormat="1" ht="22.5" x14ac:dyDescent="0.2">
      <c r="A261" s="581"/>
      <c r="B261" s="582" t="s">
        <v>987</v>
      </c>
      <c r="C261" s="583" t="s">
        <v>943</v>
      </c>
      <c r="D261" s="584" t="s">
        <v>996</v>
      </c>
      <c r="E261" s="583" t="s">
        <v>281</v>
      </c>
      <c r="F261" s="585">
        <v>1</v>
      </c>
      <c r="G261" s="586"/>
      <c r="H261" s="587">
        <v>99.97</v>
      </c>
      <c r="I261" s="588">
        <v>150</v>
      </c>
      <c r="J261" s="589">
        <f>H261+I261</f>
        <v>249.97</v>
      </c>
      <c r="K261" s="587">
        <f>H261*F261</f>
        <v>99.97</v>
      </c>
      <c r="L261" s="588">
        <f>I261*F261</f>
        <v>150</v>
      </c>
      <c r="M261" s="589">
        <f>K261+L261</f>
        <v>249.97</v>
      </c>
      <c r="N261" s="585">
        <f>M261*$N$7</f>
        <v>61.392632000000006</v>
      </c>
      <c r="O261" s="585">
        <f>ROUND(M261+N261,2)</f>
        <v>311.36</v>
      </c>
    </row>
    <row r="262" spans="1:15" s="25" customFormat="1" ht="27" x14ac:dyDescent="0.2">
      <c r="A262" s="166"/>
      <c r="B262" s="592" t="s">
        <v>997</v>
      </c>
      <c r="C262" s="31"/>
      <c r="D262" s="146" t="s">
        <v>288</v>
      </c>
      <c r="E262" s="32"/>
      <c r="F262" s="147"/>
      <c r="G262" s="33"/>
      <c r="H262" s="129"/>
      <c r="I262" s="29"/>
      <c r="J262" s="130"/>
      <c r="K262" s="129"/>
      <c r="L262" s="29"/>
      <c r="M262" s="130"/>
      <c r="N262" s="115"/>
      <c r="O262" s="115"/>
    </row>
    <row r="263" spans="1:15" s="356" customFormat="1" ht="11.25" x14ac:dyDescent="0.2">
      <c r="A263" s="402"/>
      <c r="B263" s="403"/>
      <c r="C263" s="404"/>
      <c r="D263" s="405" t="s">
        <v>435</v>
      </c>
      <c r="E263" s="406"/>
      <c r="F263" s="407"/>
      <c r="G263" s="408"/>
      <c r="H263" s="409"/>
      <c r="I263" s="410"/>
      <c r="J263" s="411"/>
      <c r="K263" s="409"/>
      <c r="L263" s="410"/>
      <c r="M263" s="411"/>
      <c r="N263" s="412"/>
      <c r="O263" s="412"/>
    </row>
    <row r="264" spans="1:15" s="25" customFormat="1" ht="14.25" x14ac:dyDescent="0.2">
      <c r="A264" s="166"/>
      <c r="B264" s="160"/>
      <c r="C264" s="31"/>
      <c r="D264" s="146" t="s">
        <v>288</v>
      </c>
      <c r="E264" s="32"/>
      <c r="F264" s="147"/>
      <c r="G264" s="33"/>
      <c r="H264" s="129"/>
      <c r="I264" s="29"/>
      <c r="J264" s="130"/>
      <c r="K264" s="129"/>
      <c r="L264" s="29"/>
      <c r="M264" s="130"/>
      <c r="N264" s="115"/>
      <c r="O264" s="115"/>
    </row>
    <row r="265" spans="1:15" s="25" customFormat="1" ht="14.25" x14ac:dyDescent="0.2">
      <c r="A265" s="167"/>
      <c r="B265" s="149"/>
      <c r="C265" s="152"/>
      <c r="D265" s="154" t="s">
        <v>322</v>
      </c>
      <c r="E265" s="152"/>
      <c r="F265" s="113"/>
      <c r="G265" s="145"/>
      <c r="H265" s="127"/>
      <c r="I265" s="37"/>
      <c r="J265" s="128"/>
      <c r="K265" s="127"/>
      <c r="L265" s="37"/>
      <c r="M265" s="128"/>
      <c r="N265" s="113"/>
      <c r="O265" s="113"/>
    </row>
    <row r="266" spans="1:15" s="25" customFormat="1" ht="14.25" x14ac:dyDescent="0.2">
      <c r="A266" s="166"/>
      <c r="B266" s="160"/>
      <c r="C266" s="31"/>
      <c r="D266" s="146" t="s">
        <v>288</v>
      </c>
      <c r="E266" s="32"/>
      <c r="F266" s="147"/>
      <c r="G266" s="33"/>
      <c r="H266" s="129"/>
      <c r="I266" s="29"/>
      <c r="J266" s="130"/>
      <c r="K266" s="129"/>
      <c r="L266" s="29"/>
      <c r="M266" s="130"/>
      <c r="N266" s="115"/>
      <c r="O266" s="115"/>
    </row>
    <row r="267" spans="1:15" s="25" customFormat="1" ht="45" x14ac:dyDescent="0.2">
      <c r="A267" s="581" t="s">
        <v>277</v>
      </c>
      <c r="B267" s="582" t="s">
        <v>988</v>
      </c>
      <c r="C267" s="583" t="s">
        <v>943</v>
      </c>
      <c r="D267" s="584" t="s">
        <v>670</v>
      </c>
      <c r="E267" s="583" t="s">
        <v>281</v>
      </c>
      <c r="F267" s="585">
        <f>'MEMÓRIA DE CÁLCULO'!D136</f>
        <v>7</v>
      </c>
      <c r="G267" s="586"/>
      <c r="H267" s="587">
        <v>353.68</v>
      </c>
      <c r="I267" s="588">
        <v>98.25</v>
      </c>
      <c r="J267" s="589">
        <f>H267+I267</f>
        <v>451.93</v>
      </c>
      <c r="K267" s="587">
        <f>H267*F267</f>
        <v>2475.7600000000002</v>
      </c>
      <c r="L267" s="588">
        <f>I267*F267</f>
        <v>687.75</v>
      </c>
      <c r="M267" s="589">
        <f>K267+L267</f>
        <v>3163.51</v>
      </c>
      <c r="N267" s="585">
        <f>M267*$N$7</f>
        <v>776.95805600000006</v>
      </c>
      <c r="O267" s="585">
        <f>ROUND(M267+N267,2)</f>
        <v>3940.47</v>
      </c>
    </row>
    <row r="268" spans="1:15" s="25" customFormat="1" ht="14.25" x14ac:dyDescent="0.2">
      <c r="A268" s="166"/>
      <c r="B268" s="160"/>
      <c r="C268" s="31"/>
      <c r="D268" s="146" t="s">
        <v>288</v>
      </c>
      <c r="E268" s="32"/>
      <c r="F268" s="147"/>
      <c r="G268" s="33"/>
      <c r="H268" s="129"/>
      <c r="I268" s="29"/>
      <c r="J268" s="130"/>
      <c r="K268" s="129"/>
      <c r="L268" s="29"/>
      <c r="M268" s="130"/>
      <c r="N268" s="115"/>
      <c r="O268" s="115"/>
    </row>
    <row r="269" spans="1:15" s="25" customFormat="1" ht="45" x14ac:dyDescent="0.2">
      <c r="A269" s="581" t="s">
        <v>277</v>
      </c>
      <c r="B269" s="582" t="s">
        <v>354</v>
      </c>
      <c r="C269" s="583" t="s">
        <v>186</v>
      </c>
      <c r="D269" s="584" t="s">
        <v>671</v>
      </c>
      <c r="E269" s="583" t="s">
        <v>281</v>
      </c>
      <c r="F269" s="585">
        <f>'MEMÓRIA DE CÁLCULO'!D137</f>
        <v>2</v>
      </c>
      <c r="G269" s="586"/>
      <c r="H269" s="587">
        <f>249.24+108.41</f>
        <v>357.65</v>
      </c>
      <c r="I269" s="588">
        <v>98.25</v>
      </c>
      <c r="J269" s="589">
        <f>H269+I269</f>
        <v>455.9</v>
      </c>
      <c r="K269" s="587">
        <f>H269*F269</f>
        <v>715.3</v>
      </c>
      <c r="L269" s="588">
        <f>I269*F269</f>
        <v>196.5</v>
      </c>
      <c r="M269" s="589">
        <f>K269+L269</f>
        <v>911.8</v>
      </c>
      <c r="N269" s="585">
        <f>M269*$N$7</f>
        <v>223.93808000000001</v>
      </c>
      <c r="O269" s="585">
        <f>ROUND(M269+N269,2)</f>
        <v>1135.74</v>
      </c>
    </row>
    <row r="270" spans="1:15" s="25" customFormat="1" ht="14.25" x14ac:dyDescent="0.2">
      <c r="A270" s="166"/>
      <c r="B270" s="160"/>
      <c r="C270" s="31"/>
      <c r="D270" s="146" t="s">
        <v>288</v>
      </c>
      <c r="E270" s="32"/>
      <c r="F270" s="147"/>
      <c r="G270" s="33"/>
      <c r="H270" s="129"/>
      <c r="I270" s="29"/>
      <c r="J270" s="130"/>
      <c r="K270" s="129"/>
      <c r="L270" s="29"/>
      <c r="M270" s="130"/>
      <c r="N270" s="115"/>
      <c r="O270" s="115"/>
    </row>
    <row r="271" spans="1:15" s="25" customFormat="1" ht="45" x14ac:dyDescent="0.2">
      <c r="A271" s="581" t="s">
        <v>277</v>
      </c>
      <c r="B271" s="582" t="s">
        <v>989</v>
      </c>
      <c r="C271" s="583" t="s">
        <v>172</v>
      </c>
      <c r="D271" s="584" t="s">
        <v>669</v>
      </c>
      <c r="E271" s="583" t="s">
        <v>281</v>
      </c>
      <c r="F271" s="585">
        <f>'MEMÓRIA DE CÁLCULO'!D138</f>
        <v>9</v>
      </c>
      <c r="G271" s="586"/>
      <c r="H271" s="587">
        <v>369.84</v>
      </c>
      <c r="I271" s="588">
        <v>98.25</v>
      </c>
      <c r="J271" s="589">
        <f>H271+I271</f>
        <v>468.09</v>
      </c>
      <c r="K271" s="587">
        <f>H271*F271</f>
        <v>3328.56</v>
      </c>
      <c r="L271" s="588">
        <f>I271*F271</f>
        <v>884.25</v>
      </c>
      <c r="M271" s="589">
        <f>K271+L271</f>
        <v>4212.8099999999995</v>
      </c>
      <c r="N271" s="585">
        <f>M271*$N$7</f>
        <v>1034.6661359999998</v>
      </c>
      <c r="O271" s="585">
        <f>ROUND(M271+N271,2)</f>
        <v>5247.48</v>
      </c>
    </row>
    <row r="272" spans="1:15" s="25" customFormat="1" ht="14.25" x14ac:dyDescent="0.2">
      <c r="A272" s="166"/>
      <c r="B272" s="160"/>
      <c r="C272" s="31"/>
      <c r="D272" s="146" t="s">
        <v>288</v>
      </c>
      <c r="E272" s="32"/>
      <c r="F272" s="147"/>
      <c r="G272" s="33"/>
      <c r="H272" s="129"/>
      <c r="I272" s="29"/>
      <c r="J272" s="130"/>
      <c r="K272" s="129"/>
      <c r="L272" s="29"/>
      <c r="M272" s="130"/>
      <c r="N272" s="115"/>
      <c r="O272" s="115"/>
    </row>
    <row r="273" spans="1:15" s="25" customFormat="1" ht="56.25" x14ac:dyDescent="0.2">
      <c r="A273" s="581" t="s">
        <v>277</v>
      </c>
      <c r="B273" s="582" t="s">
        <v>990</v>
      </c>
      <c r="C273" s="583" t="s">
        <v>173</v>
      </c>
      <c r="D273" s="584" t="s">
        <v>672</v>
      </c>
      <c r="E273" s="583" t="s">
        <v>281</v>
      </c>
      <c r="F273" s="585">
        <f>'MEMÓRIA DE CÁLCULO'!D139</f>
        <v>1</v>
      </c>
      <c r="G273" s="586"/>
      <c r="H273" s="587">
        <v>605.66</v>
      </c>
      <c r="I273" s="588">
        <v>98.25</v>
      </c>
      <c r="J273" s="589">
        <f>H273+I273</f>
        <v>703.91</v>
      </c>
      <c r="K273" s="587">
        <f>H273*F273</f>
        <v>605.66</v>
      </c>
      <c r="L273" s="588">
        <f>I273*F273</f>
        <v>98.25</v>
      </c>
      <c r="M273" s="589">
        <f>K273+L273</f>
        <v>703.91</v>
      </c>
      <c r="N273" s="585">
        <f>M273*$N$7</f>
        <v>172.88029599999999</v>
      </c>
      <c r="O273" s="585">
        <f>ROUND(M273+N273,2)</f>
        <v>876.79</v>
      </c>
    </row>
    <row r="274" spans="1:15" s="25" customFormat="1" ht="14.25" x14ac:dyDescent="0.2">
      <c r="A274" s="166"/>
      <c r="B274" s="160"/>
      <c r="C274" s="31"/>
      <c r="D274" s="146" t="s">
        <v>288</v>
      </c>
      <c r="E274" s="32"/>
      <c r="F274" s="147"/>
      <c r="G274" s="33"/>
      <c r="H274" s="129"/>
      <c r="I274" s="29"/>
      <c r="J274" s="130"/>
      <c r="K274" s="129"/>
      <c r="L274" s="29"/>
      <c r="M274" s="130"/>
      <c r="N274" s="115"/>
      <c r="O274" s="115"/>
    </row>
    <row r="275" spans="1:15" s="25" customFormat="1" ht="45" x14ac:dyDescent="0.2">
      <c r="A275" s="581"/>
      <c r="B275" s="582" t="s">
        <v>991</v>
      </c>
      <c r="C275" s="583" t="s">
        <v>639</v>
      </c>
      <c r="D275" s="584" t="s">
        <v>753</v>
      </c>
      <c r="E275" s="583" t="s">
        <v>281</v>
      </c>
      <c r="F275" s="585">
        <f>'MEMÓRIA DE CÁLCULO'!D140</f>
        <v>1</v>
      </c>
      <c r="G275" s="586"/>
      <c r="H275" s="587">
        <v>739.68</v>
      </c>
      <c r="I275" s="588">
        <v>196.5</v>
      </c>
      <c r="J275" s="589">
        <f>H275+I275</f>
        <v>936.18</v>
      </c>
      <c r="K275" s="587">
        <f>H275*F275</f>
        <v>739.68</v>
      </c>
      <c r="L275" s="588">
        <f>I275*F275</f>
        <v>196.5</v>
      </c>
      <c r="M275" s="589">
        <f>K275+L275</f>
        <v>936.18</v>
      </c>
      <c r="N275" s="585">
        <f>M275*$N$7</f>
        <v>229.92580799999999</v>
      </c>
      <c r="O275" s="585">
        <f>ROUND(M275+N275,2)</f>
        <v>1166.1099999999999</v>
      </c>
    </row>
    <row r="276" spans="1:15" s="25" customFormat="1" ht="33.75" x14ac:dyDescent="0.2">
      <c r="A276" s="166"/>
      <c r="B276" s="159" t="s">
        <v>992</v>
      </c>
      <c r="C276" s="31"/>
      <c r="D276" s="146" t="s">
        <v>288</v>
      </c>
      <c r="E276" s="32"/>
      <c r="F276" s="147"/>
      <c r="G276" s="33"/>
      <c r="H276" s="129"/>
      <c r="I276" s="29"/>
      <c r="J276" s="130"/>
      <c r="K276" s="129"/>
      <c r="L276" s="29"/>
      <c r="M276" s="130"/>
      <c r="N276" s="115"/>
      <c r="O276" s="115"/>
    </row>
    <row r="277" spans="1:15" s="25" customFormat="1" ht="14.25" x14ac:dyDescent="0.2">
      <c r="A277" s="167"/>
      <c r="B277" s="149"/>
      <c r="C277" s="152"/>
      <c r="D277" s="154" t="s">
        <v>455</v>
      </c>
      <c r="E277" s="152"/>
      <c r="F277" s="113"/>
      <c r="G277" s="145"/>
      <c r="H277" s="127"/>
      <c r="I277" s="37"/>
      <c r="J277" s="128"/>
      <c r="K277" s="127"/>
      <c r="L277" s="37"/>
      <c r="M277" s="128"/>
      <c r="N277" s="113"/>
      <c r="O277" s="113"/>
    </row>
    <row r="278" spans="1:15" s="25" customFormat="1" ht="11.25" customHeight="1" x14ac:dyDescent="0.2">
      <c r="A278" s="166"/>
      <c r="B278" s="160"/>
      <c r="C278" s="31"/>
      <c r="D278" s="146" t="s">
        <v>288</v>
      </c>
      <c r="E278" s="32"/>
      <c r="F278" s="147"/>
      <c r="G278" s="33"/>
      <c r="H278" s="129"/>
      <c r="I278" s="29"/>
      <c r="J278" s="130"/>
      <c r="K278" s="129"/>
      <c r="L278" s="29"/>
      <c r="M278" s="130"/>
      <c r="N278" s="115"/>
      <c r="O278" s="115"/>
    </row>
    <row r="279" spans="1:15" s="25" customFormat="1" ht="33.75" x14ac:dyDescent="0.2">
      <c r="A279" s="581" t="s">
        <v>278</v>
      </c>
      <c r="B279" s="591">
        <v>27008000016</v>
      </c>
      <c r="C279" s="583" t="s">
        <v>640</v>
      </c>
      <c r="D279" s="584" t="s">
        <v>983</v>
      </c>
      <c r="E279" s="583" t="s">
        <v>281</v>
      </c>
      <c r="F279" s="585">
        <f>'MEMÓRIA DE CÁLCULO'!D142</f>
        <v>2</v>
      </c>
      <c r="G279" s="586"/>
      <c r="H279" s="588">
        <f>ROUND(SUM(H280:H290),2)</f>
        <v>2761.03</v>
      </c>
      <c r="I279" s="588">
        <f>ROUND(SUM(I280:I290),2)</f>
        <v>0</v>
      </c>
      <c r="J279" s="589">
        <f>H279+I279</f>
        <v>2761.03</v>
      </c>
      <c r="K279" s="587">
        <f>H279*F279</f>
        <v>5522.06</v>
      </c>
      <c r="L279" s="588">
        <f>I279*F279</f>
        <v>0</v>
      </c>
      <c r="M279" s="589">
        <f>K279+L279</f>
        <v>5522.06</v>
      </c>
      <c r="N279" s="585">
        <f>M279*$N$7</f>
        <v>1356.2179360000002</v>
      </c>
      <c r="O279" s="585">
        <f>ROUND(M279+N279,2)</f>
        <v>6878.28</v>
      </c>
    </row>
    <row r="280" spans="1:15" s="25" customFormat="1" ht="14.25" x14ac:dyDescent="0.2">
      <c r="A280" s="168"/>
      <c r="B280" s="159"/>
      <c r="C280" s="34"/>
      <c r="D280" s="153" t="s">
        <v>502</v>
      </c>
      <c r="E280" s="34" t="s">
        <v>281</v>
      </c>
      <c r="F280" s="148">
        <v>2</v>
      </c>
      <c r="G280" s="35">
        <v>34.479999999999997</v>
      </c>
      <c r="H280" s="131">
        <f t="shared" ref="H280:H289" si="0">F280*G280</f>
        <v>68.959999999999994</v>
      </c>
      <c r="I280" s="30"/>
      <c r="J280" s="132"/>
      <c r="K280" s="131"/>
      <c r="L280" s="30"/>
      <c r="M280" s="132"/>
      <c r="N280" s="117"/>
      <c r="O280" s="117"/>
    </row>
    <row r="281" spans="1:15" s="25" customFormat="1" ht="14.25" x14ac:dyDescent="0.2">
      <c r="A281" s="168"/>
      <c r="B281" s="159"/>
      <c r="C281" s="34"/>
      <c r="D281" s="153" t="s">
        <v>503</v>
      </c>
      <c r="E281" s="34" t="s">
        <v>281</v>
      </c>
      <c r="F281" s="148">
        <v>2</v>
      </c>
      <c r="G281" s="35">
        <v>25.37</v>
      </c>
      <c r="H281" s="131">
        <f t="shared" si="0"/>
        <v>50.74</v>
      </c>
      <c r="I281" s="30"/>
      <c r="J281" s="132"/>
      <c r="K281" s="131"/>
      <c r="L281" s="30"/>
      <c r="M281" s="132"/>
      <c r="N281" s="115"/>
      <c r="O281" s="115"/>
    </row>
    <row r="282" spans="1:15" s="25" customFormat="1" ht="14.25" x14ac:dyDescent="0.2">
      <c r="A282" s="168"/>
      <c r="B282" s="159"/>
      <c r="C282" s="34"/>
      <c r="D282" s="153" t="s">
        <v>504</v>
      </c>
      <c r="E282" s="34" t="s">
        <v>281</v>
      </c>
      <c r="F282" s="148">
        <v>1</v>
      </c>
      <c r="G282" s="35">
        <v>52.79</v>
      </c>
      <c r="H282" s="131">
        <f t="shared" si="0"/>
        <v>52.79</v>
      </c>
      <c r="I282" s="30"/>
      <c r="J282" s="132"/>
      <c r="K282" s="131"/>
      <c r="L282" s="30"/>
      <c r="M282" s="132"/>
      <c r="N282" s="115"/>
      <c r="O282" s="115"/>
    </row>
    <row r="283" spans="1:15" s="25" customFormat="1" ht="14.25" x14ac:dyDescent="0.2">
      <c r="A283" s="168"/>
      <c r="B283" s="159"/>
      <c r="C283" s="34"/>
      <c r="D283" s="153" t="s">
        <v>505</v>
      </c>
      <c r="E283" s="34" t="s">
        <v>281</v>
      </c>
      <c r="F283" s="148">
        <v>2</v>
      </c>
      <c r="G283" s="35">
        <v>600</v>
      </c>
      <c r="H283" s="131">
        <f t="shared" si="0"/>
        <v>1200</v>
      </c>
      <c r="I283" s="30"/>
      <c r="J283" s="132"/>
      <c r="K283" s="131"/>
      <c r="L283" s="30"/>
      <c r="M283" s="132"/>
      <c r="N283" s="115"/>
      <c r="O283" s="115"/>
    </row>
    <row r="284" spans="1:15" s="25" customFormat="1" ht="14.25" x14ac:dyDescent="0.2">
      <c r="A284" s="168"/>
      <c r="B284" s="159"/>
      <c r="C284" s="34"/>
      <c r="D284" s="153" t="s">
        <v>506</v>
      </c>
      <c r="E284" s="34" t="s">
        <v>281</v>
      </c>
      <c r="F284" s="148">
        <v>2</v>
      </c>
      <c r="G284" s="35">
        <v>18.34</v>
      </c>
      <c r="H284" s="131">
        <f t="shared" si="0"/>
        <v>36.68</v>
      </c>
      <c r="I284" s="30"/>
      <c r="J284" s="132"/>
      <c r="K284" s="131"/>
      <c r="L284" s="30"/>
      <c r="M284" s="132"/>
      <c r="N284" s="114"/>
      <c r="O284" s="114"/>
    </row>
    <row r="285" spans="1:15" s="27" customFormat="1" x14ac:dyDescent="0.2">
      <c r="A285" s="168"/>
      <c r="B285" s="159"/>
      <c r="C285" s="34"/>
      <c r="D285" s="153" t="s">
        <v>507</v>
      </c>
      <c r="E285" s="34" t="s">
        <v>281</v>
      </c>
      <c r="F285" s="148">
        <v>2</v>
      </c>
      <c r="G285" s="35">
        <v>27.33</v>
      </c>
      <c r="H285" s="131">
        <f t="shared" si="0"/>
        <v>54.66</v>
      </c>
      <c r="I285" s="30"/>
      <c r="J285" s="132"/>
      <c r="K285" s="131"/>
      <c r="L285" s="30"/>
      <c r="M285" s="132"/>
      <c r="N285" s="114"/>
      <c r="O285" s="114"/>
    </row>
    <row r="286" spans="1:15" s="25" customFormat="1" ht="14.25" x14ac:dyDescent="0.2">
      <c r="A286" s="168"/>
      <c r="B286" s="159"/>
      <c r="C286" s="34"/>
      <c r="D286" s="153" t="s">
        <v>508</v>
      </c>
      <c r="E286" s="34" t="s">
        <v>281</v>
      </c>
      <c r="F286" s="148">
        <v>2</v>
      </c>
      <c r="G286" s="35">
        <v>4.75</v>
      </c>
      <c r="H286" s="131">
        <f t="shared" si="0"/>
        <v>9.5</v>
      </c>
      <c r="I286" s="30"/>
      <c r="J286" s="132"/>
      <c r="K286" s="131"/>
      <c r="L286" s="30"/>
      <c r="M286" s="132"/>
      <c r="N286" s="115"/>
      <c r="O286" s="115"/>
    </row>
    <row r="287" spans="1:15" s="25" customFormat="1" ht="14.25" x14ac:dyDescent="0.2">
      <c r="A287" s="168"/>
      <c r="B287" s="159"/>
      <c r="C287" s="34"/>
      <c r="D287" s="153" t="s">
        <v>509</v>
      </c>
      <c r="E287" s="34" t="s">
        <v>281</v>
      </c>
      <c r="F287" s="148">
        <v>1</v>
      </c>
      <c r="G287" s="35">
        <v>3.67</v>
      </c>
      <c r="H287" s="131">
        <f t="shared" si="0"/>
        <v>3.67</v>
      </c>
      <c r="I287" s="30"/>
      <c r="J287" s="132"/>
      <c r="K287" s="131"/>
      <c r="L287" s="30"/>
      <c r="M287" s="132"/>
      <c r="N287" s="115"/>
      <c r="O287" s="115"/>
    </row>
    <row r="288" spans="1:15" s="25" customFormat="1" ht="14.25" x14ac:dyDescent="0.2">
      <c r="A288" s="168"/>
      <c r="B288" s="159"/>
      <c r="C288" s="34"/>
      <c r="D288" s="153" t="s">
        <v>510</v>
      </c>
      <c r="E288" s="34" t="s">
        <v>281</v>
      </c>
      <c r="F288" s="148">
        <v>1</v>
      </c>
      <c r="G288" s="35">
        <v>21.55</v>
      </c>
      <c r="H288" s="131">
        <f t="shared" si="0"/>
        <v>21.55</v>
      </c>
      <c r="I288" s="30"/>
      <c r="J288" s="132"/>
      <c r="K288" s="131"/>
      <c r="L288" s="30"/>
      <c r="M288" s="132"/>
      <c r="N288" s="115"/>
      <c r="O288" s="115"/>
    </row>
    <row r="289" spans="1:15" s="25" customFormat="1" ht="14.25" x14ac:dyDescent="0.2">
      <c r="A289" s="168"/>
      <c r="B289" s="159"/>
      <c r="C289" s="34"/>
      <c r="D289" s="153" t="s">
        <v>511</v>
      </c>
      <c r="E289" s="34" t="s">
        <v>183</v>
      </c>
      <c r="F289" s="148">
        <v>3.78</v>
      </c>
      <c r="G289" s="35">
        <v>212.25</v>
      </c>
      <c r="H289" s="131">
        <f t="shared" si="0"/>
        <v>802.30499999999995</v>
      </c>
      <c r="I289" s="30"/>
      <c r="J289" s="132"/>
      <c r="K289" s="131"/>
      <c r="L289" s="30"/>
      <c r="M289" s="132"/>
      <c r="N289" s="114"/>
      <c r="O289" s="114"/>
    </row>
    <row r="290" spans="1:15" s="27" customFormat="1" x14ac:dyDescent="0.2">
      <c r="A290" s="168"/>
      <c r="B290" s="159"/>
      <c r="C290" s="34"/>
      <c r="D290" s="153" t="s">
        <v>512</v>
      </c>
      <c r="E290" s="34" t="s">
        <v>334</v>
      </c>
      <c r="F290" s="148">
        <v>30</v>
      </c>
      <c r="G290" s="35">
        <v>2300.87</v>
      </c>
      <c r="H290" s="131">
        <f>G290*0.2</f>
        <v>460.17399999999998</v>
      </c>
      <c r="I290" s="30"/>
      <c r="J290" s="132"/>
      <c r="K290" s="131"/>
      <c r="L290" s="30"/>
      <c r="M290" s="132"/>
      <c r="N290" s="114"/>
      <c r="O290" s="114"/>
    </row>
    <row r="291" spans="1:15" s="25" customFormat="1" ht="14.25" x14ac:dyDescent="0.2">
      <c r="A291" s="166"/>
      <c r="B291" s="160"/>
      <c r="C291" s="31"/>
      <c r="D291" s="146" t="s">
        <v>288</v>
      </c>
      <c r="E291" s="32"/>
      <c r="F291" s="147"/>
      <c r="G291" s="33"/>
      <c r="H291" s="129"/>
      <c r="I291" s="29"/>
      <c r="J291" s="130"/>
      <c r="K291" s="129"/>
      <c r="L291" s="29"/>
      <c r="M291" s="130"/>
      <c r="N291" s="115"/>
      <c r="O291" s="115"/>
    </row>
    <row r="292" spans="1:15" s="25" customFormat="1" ht="45" x14ac:dyDescent="0.2">
      <c r="A292" s="581" t="s">
        <v>278</v>
      </c>
      <c r="B292" s="582">
        <v>27008000016</v>
      </c>
      <c r="C292" s="583" t="s">
        <v>641</v>
      </c>
      <c r="D292" s="584" t="s">
        <v>993</v>
      </c>
      <c r="E292" s="583" t="s">
        <v>281</v>
      </c>
      <c r="F292" s="585">
        <f>'MEMÓRIA DE CÁLCULO'!D143</f>
        <v>1</v>
      </c>
      <c r="G292" s="586"/>
      <c r="H292" s="588">
        <f>ROUND(SUM(H293:H303),2)</f>
        <v>3162.18</v>
      </c>
      <c r="I292" s="588">
        <f>ROUND(SUM(I293:I303),2)</f>
        <v>0</v>
      </c>
      <c r="J292" s="589">
        <f>H292+I292</f>
        <v>3162.18</v>
      </c>
      <c r="K292" s="587">
        <f>H292*F292</f>
        <v>3162.18</v>
      </c>
      <c r="L292" s="588">
        <f>I292*F292</f>
        <v>0</v>
      </c>
      <c r="M292" s="589">
        <f>K292+L292</f>
        <v>3162.18</v>
      </c>
      <c r="N292" s="585">
        <f>M292*$N$7</f>
        <v>776.63140799999996</v>
      </c>
      <c r="O292" s="585">
        <f>ROUND(M292+N292,2)</f>
        <v>3938.81</v>
      </c>
    </row>
    <row r="293" spans="1:15" s="25" customFormat="1" ht="14.25" x14ac:dyDescent="0.2">
      <c r="A293" s="168"/>
      <c r="B293" s="159"/>
      <c r="C293" s="34"/>
      <c r="D293" s="153" t="s">
        <v>502</v>
      </c>
      <c r="E293" s="34" t="s">
        <v>281</v>
      </c>
      <c r="F293" s="148">
        <v>2</v>
      </c>
      <c r="G293" s="35">
        <v>34.479999999999997</v>
      </c>
      <c r="H293" s="131">
        <f t="shared" ref="H293:H302" si="1">F293*G293</f>
        <v>68.959999999999994</v>
      </c>
      <c r="I293" s="30"/>
      <c r="J293" s="132"/>
      <c r="K293" s="131"/>
      <c r="L293" s="30"/>
      <c r="M293" s="132"/>
      <c r="N293" s="117"/>
      <c r="O293" s="117"/>
    </row>
    <row r="294" spans="1:15" s="25" customFormat="1" ht="14.25" x14ac:dyDescent="0.2">
      <c r="A294" s="168"/>
      <c r="B294" s="159"/>
      <c r="C294" s="34"/>
      <c r="D294" s="153" t="s">
        <v>503</v>
      </c>
      <c r="E294" s="34" t="s">
        <v>281</v>
      </c>
      <c r="F294" s="148">
        <v>2</v>
      </c>
      <c r="G294" s="35">
        <v>25.37</v>
      </c>
      <c r="H294" s="131">
        <f t="shared" si="1"/>
        <v>50.74</v>
      </c>
      <c r="I294" s="30"/>
      <c r="J294" s="132"/>
      <c r="K294" s="131"/>
      <c r="L294" s="30"/>
      <c r="M294" s="132"/>
      <c r="N294" s="115"/>
      <c r="O294" s="115"/>
    </row>
    <row r="295" spans="1:15" s="25" customFormat="1" ht="14.25" x14ac:dyDescent="0.2">
      <c r="A295" s="168"/>
      <c r="B295" s="159"/>
      <c r="C295" s="34"/>
      <c r="D295" s="153" t="s">
        <v>504</v>
      </c>
      <c r="E295" s="34" t="s">
        <v>281</v>
      </c>
      <c r="F295" s="148">
        <v>1</v>
      </c>
      <c r="G295" s="35">
        <v>52.79</v>
      </c>
      <c r="H295" s="131">
        <f t="shared" si="1"/>
        <v>52.79</v>
      </c>
      <c r="I295" s="30"/>
      <c r="J295" s="132"/>
      <c r="K295" s="131"/>
      <c r="L295" s="30"/>
      <c r="M295" s="132"/>
      <c r="N295" s="115"/>
      <c r="O295" s="115"/>
    </row>
    <row r="296" spans="1:15" s="25" customFormat="1" ht="14.25" x14ac:dyDescent="0.2">
      <c r="A296" s="168"/>
      <c r="B296" s="159"/>
      <c r="C296" s="34"/>
      <c r="D296" s="153" t="s">
        <v>505</v>
      </c>
      <c r="E296" s="34" t="s">
        <v>281</v>
      </c>
      <c r="F296" s="148">
        <v>2</v>
      </c>
      <c r="G296" s="35">
        <v>600</v>
      </c>
      <c r="H296" s="131">
        <f t="shared" si="1"/>
        <v>1200</v>
      </c>
      <c r="I296" s="30"/>
      <c r="J296" s="132"/>
      <c r="K296" s="131"/>
      <c r="L296" s="30"/>
      <c r="M296" s="132"/>
      <c r="N296" s="115"/>
      <c r="O296" s="115"/>
    </row>
    <row r="297" spans="1:15" s="25" customFormat="1" ht="14.25" x14ac:dyDescent="0.2">
      <c r="A297" s="168"/>
      <c r="B297" s="159"/>
      <c r="C297" s="34"/>
      <c r="D297" s="153" t="s">
        <v>506</v>
      </c>
      <c r="E297" s="34" t="s">
        <v>281</v>
      </c>
      <c r="F297" s="148">
        <v>2</v>
      </c>
      <c r="G297" s="35">
        <v>18.34</v>
      </c>
      <c r="H297" s="131">
        <f t="shared" si="1"/>
        <v>36.68</v>
      </c>
      <c r="I297" s="30"/>
      <c r="J297" s="132"/>
      <c r="K297" s="131"/>
      <c r="L297" s="30"/>
      <c r="M297" s="132"/>
      <c r="N297" s="114"/>
      <c r="O297" s="114"/>
    </row>
    <row r="298" spans="1:15" s="27" customFormat="1" x14ac:dyDescent="0.2">
      <c r="A298" s="168"/>
      <c r="B298" s="159"/>
      <c r="C298" s="34"/>
      <c r="D298" s="153" t="s">
        <v>507</v>
      </c>
      <c r="E298" s="34" t="s">
        <v>281</v>
      </c>
      <c r="F298" s="148">
        <v>2</v>
      </c>
      <c r="G298" s="35">
        <v>27.33</v>
      </c>
      <c r="H298" s="131">
        <f t="shared" si="1"/>
        <v>54.66</v>
      </c>
      <c r="I298" s="30"/>
      <c r="J298" s="132"/>
      <c r="K298" s="131"/>
      <c r="L298" s="30"/>
      <c r="M298" s="132"/>
      <c r="N298" s="114"/>
      <c r="O298" s="114"/>
    </row>
    <row r="299" spans="1:15" s="25" customFormat="1" ht="14.25" x14ac:dyDescent="0.2">
      <c r="A299" s="168"/>
      <c r="B299" s="159"/>
      <c r="C299" s="34"/>
      <c r="D299" s="153" t="s">
        <v>508</v>
      </c>
      <c r="E299" s="34" t="s">
        <v>281</v>
      </c>
      <c r="F299" s="148">
        <v>2</v>
      </c>
      <c r="G299" s="35">
        <v>4.75</v>
      </c>
      <c r="H299" s="131">
        <f t="shared" si="1"/>
        <v>9.5</v>
      </c>
      <c r="I299" s="30"/>
      <c r="J299" s="132"/>
      <c r="K299" s="131"/>
      <c r="L299" s="30"/>
      <c r="M299" s="132"/>
      <c r="N299" s="115"/>
      <c r="O299" s="115"/>
    </row>
    <row r="300" spans="1:15" s="25" customFormat="1" ht="14.25" x14ac:dyDescent="0.2">
      <c r="A300" s="168"/>
      <c r="B300" s="159"/>
      <c r="C300" s="34"/>
      <c r="D300" s="153" t="s">
        <v>509</v>
      </c>
      <c r="E300" s="34" t="s">
        <v>281</v>
      </c>
      <c r="F300" s="148">
        <v>1</v>
      </c>
      <c r="G300" s="35">
        <v>3.67</v>
      </c>
      <c r="H300" s="131">
        <f t="shared" si="1"/>
        <v>3.67</v>
      </c>
      <c r="I300" s="30"/>
      <c r="J300" s="132"/>
      <c r="K300" s="131"/>
      <c r="L300" s="30"/>
      <c r="M300" s="132"/>
      <c r="N300" s="115"/>
      <c r="O300" s="115"/>
    </row>
    <row r="301" spans="1:15" s="25" customFormat="1" ht="14.25" x14ac:dyDescent="0.2">
      <c r="A301" s="168"/>
      <c r="B301" s="159"/>
      <c r="C301" s="34"/>
      <c r="D301" s="153" t="s">
        <v>510</v>
      </c>
      <c r="E301" s="34" t="s">
        <v>281</v>
      </c>
      <c r="F301" s="148">
        <v>1</v>
      </c>
      <c r="G301" s="35">
        <v>21.55</v>
      </c>
      <c r="H301" s="131">
        <f t="shared" si="1"/>
        <v>21.55</v>
      </c>
      <c r="I301" s="30"/>
      <c r="J301" s="132"/>
      <c r="K301" s="131"/>
      <c r="L301" s="30"/>
      <c r="M301" s="132"/>
      <c r="N301" s="115"/>
      <c r="O301" s="115"/>
    </row>
    <row r="302" spans="1:15" s="25" customFormat="1" ht="14.25" x14ac:dyDescent="0.2">
      <c r="A302" s="168"/>
      <c r="B302" s="159"/>
      <c r="C302" s="34"/>
      <c r="D302" s="153" t="s">
        <v>511</v>
      </c>
      <c r="E302" s="34" t="s">
        <v>183</v>
      </c>
      <c r="F302" s="148">
        <v>5.67</v>
      </c>
      <c r="G302" s="35">
        <v>212.25</v>
      </c>
      <c r="H302" s="131">
        <f t="shared" si="1"/>
        <v>1203.4575</v>
      </c>
      <c r="I302" s="30"/>
      <c r="J302" s="132"/>
      <c r="K302" s="131"/>
      <c r="L302" s="30"/>
      <c r="M302" s="132"/>
      <c r="N302" s="114"/>
      <c r="O302" s="114"/>
    </row>
    <row r="303" spans="1:15" s="27" customFormat="1" x14ac:dyDescent="0.2">
      <c r="A303" s="168"/>
      <c r="B303" s="159"/>
      <c r="C303" s="34"/>
      <c r="D303" s="153" t="s">
        <v>512</v>
      </c>
      <c r="E303" s="34" t="s">
        <v>334</v>
      </c>
      <c r="F303" s="148">
        <v>20</v>
      </c>
      <c r="G303" s="35">
        <v>2300.87</v>
      </c>
      <c r="H303" s="131">
        <f>G303*0.2</f>
        <v>460.17399999999998</v>
      </c>
      <c r="I303" s="30"/>
      <c r="J303" s="132"/>
      <c r="K303" s="131"/>
      <c r="L303" s="30"/>
      <c r="M303" s="132"/>
      <c r="N303" s="114"/>
      <c r="O303" s="114"/>
    </row>
    <row r="304" spans="1:15" s="25" customFormat="1" ht="14.25" x14ac:dyDescent="0.2">
      <c r="A304" s="166"/>
      <c r="B304" s="160"/>
      <c r="C304" s="31"/>
      <c r="D304" s="146" t="s">
        <v>288</v>
      </c>
      <c r="E304" s="32"/>
      <c r="F304" s="147"/>
      <c r="G304" s="33"/>
      <c r="H304" s="129"/>
      <c r="I304" s="29"/>
      <c r="J304" s="130"/>
      <c r="K304" s="129"/>
      <c r="L304" s="29"/>
      <c r="M304" s="130"/>
      <c r="N304" s="115"/>
      <c r="O304" s="115"/>
    </row>
    <row r="305" spans="1:15" s="25" customFormat="1" ht="22.5" x14ac:dyDescent="0.2">
      <c r="A305" s="581" t="s">
        <v>278</v>
      </c>
      <c r="B305" s="582">
        <v>27008000022</v>
      </c>
      <c r="C305" s="583" t="s">
        <v>642</v>
      </c>
      <c r="D305" s="584" t="s">
        <v>882</v>
      </c>
      <c r="E305" s="583" t="s">
        <v>227</v>
      </c>
      <c r="F305" s="585">
        <f>'MEMÓRIA DE CÁLCULO'!D145</f>
        <v>3</v>
      </c>
      <c r="G305" s="586"/>
      <c r="H305" s="588">
        <f>ROUND(SUM(H306:H309),2)</f>
        <v>173</v>
      </c>
      <c r="I305" s="588">
        <f>ROUND(SUM(I306:I309),2)</f>
        <v>36.090000000000003</v>
      </c>
      <c r="J305" s="589">
        <f>H305+I305</f>
        <v>209.09</v>
      </c>
      <c r="K305" s="587">
        <f>H305*F305</f>
        <v>519</v>
      </c>
      <c r="L305" s="588">
        <f>I305*F305</f>
        <v>108.27000000000001</v>
      </c>
      <c r="M305" s="589">
        <f>K305+L305</f>
        <v>627.27</v>
      </c>
      <c r="N305" s="585">
        <f>M305*$N$7</f>
        <v>154.057512</v>
      </c>
      <c r="O305" s="585">
        <f>ROUND(M305+N305,2)</f>
        <v>781.33</v>
      </c>
    </row>
    <row r="306" spans="1:15" s="25" customFormat="1" ht="14.25" x14ac:dyDescent="0.2">
      <c r="A306" s="168"/>
      <c r="B306" s="159"/>
      <c r="C306" s="34"/>
      <c r="D306" s="153" t="s">
        <v>335</v>
      </c>
      <c r="E306" s="34" t="s">
        <v>229</v>
      </c>
      <c r="F306" s="148">
        <v>1.4</v>
      </c>
      <c r="G306" s="35">
        <v>16.86</v>
      </c>
      <c r="H306" s="131"/>
      <c r="I306" s="30">
        <f>F306*G306</f>
        <v>23.603999999999999</v>
      </c>
      <c r="J306" s="132"/>
      <c r="K306" s="131"/>
      <c r="L306" s="30"/>
      <c r="M306" s="132"/>
      <c r="N306" s="117"/>
      <c r="O306" s="117"/>
    </row>
    <row r="307" spans="1:15" s="25" customFormat="1" ht="14.25" x14ac:dyDescent="0.2">
      <c r="A307" s="168"/>
      <c r="B307" s="159"/>
      <c r="C307" s="34"/>
      <c r="D307" s="153" t="s">
        <v>207</v>
      </c>
      <c r="E307" s="34" t="s">
        <v>229</v>
      </c>
      <c r="F307" s="148">
        <v>1.4</v>
      </c>
      <c r="G307" s="35">
        <v>8.92</v>
      </c>
      <c r="H307" s="131"/>
      <c r="I307" s="30">
        <f>F307*G307</f>
        <v>12.488</v>
      </c>
      <c r="J307" s="132"/>
      <c r="K307" s="131"/>
      <c r="L307" s="30"/>
      <c r="M307" s="132"/>
      <c r="N307" s="115"/>
      <c r="O307" s="115"/>
    </row>
    <row r="308" spans="1:15" s="25" customFormat="1" ht="14.25" x14ac:dyDescent="0.2">
      <c r="A308" s="168"/>
      <c r="B308" s="159"/>
      <c r="C308" s="34"/>
      <c r="D308" s="153" t="s">
        <v>511</v>
      </c>
      <c r="E308" s="34" t="s">
        <v>253</v>
      </c>
      <c r="F308" s="148">
        <f>1.05*0.4</f>
        <v>0.42000000000000004</v>
      </c>
      <c r="G308" s="35">
        <v>212.25</v>
      </c>
      <c r="H308" s="131">
        <f>F308*G308</f>
        <v>89.14500000000001</v>
      </c>
      <c r="I308" s="30"/>
      <c r="J308" s="132"/>
      <c r="K308" s="131"/>
      <c r="L308" s="30"/>
      <c r="M308" s="132"/>
      <c r="N308" s="115"/>
      <c r="O308" s="115"/>
    </row>
    <row r="309" spans="1:15" s="25" customFormat="1" ht="14.25" x14ac:dyDescent="0.2">
      <c r="A309" s="168"/>
      <c r="B309" s="159"/>
      <c r="C309" s="34">
        <v>20241</v>
      </c>
      <c r="D309" s="153" t="s">
        <v>559</v>
      </c>
      <c r="E309" s="34" t="s">
        <v>135</v>
      </c>
      <c r="F309" s="148">
        <v>1</v>
      </c>
      <c r="G309" s="35">
        <v>83.85</v>
      </c>
      <c r="H309" s="131">
        <f>F309*G309</f>
        <v>83.85</v>
      </c>
      <c r="I309" s="30"/>
      <c r="J309" s="132"/>
      <c r="K309" s="131"/>
      <c r="L309" s="30"/>
      <c r="M309" s="132"/>
      <c r="N309" s="115"/>
      <c r="O309" s="115"/>
    </row>
    <row r="310" spans="1:15" s="25" customFormat="1" ht="14.25" x14ac:dyDescent="0.2">
      <c r="A310" s="168"/>
      <c r="B310" s="159"/>
      <c r="C310" s="34"/>
      <c r="D310" s="153"/>
      <c r="E310" s="34"/>
      <c r="F310" s="148"/>
      <c r="G310" s="35"/>
      <c r="H310" s="131"/>
      <c r="I310" s="30"/>
      <c r="J310" s="132"/>
      <c r="K310" s="131"/>
      <c r="L310" s="30"/>
      <c r="M310" s="132"/>
      <c r="N310" s="115"/>
      <c r="O310" s="115"/>
    </row>
    <row r="311" spans="1:15" s="25" customFormat="1" ht="22.5" x14ac:dyDescent="0.2">
      <c r="A311" s="581" t="s">
        <v>278</v>
      </c>
      <c r="B311" s="582">
        <v>27008000022</v>
      </c>
      <c r="C311" s="583" t="s">
        <v>643</v>
      </c>
      <c r="D311" s="584" t="s">
        <v>883</v>
      </c>
      <c r="E311" s="583" t="s">
        <v>227</v>
      </c>
      <c r="F311" s="585">
        <f>'MEMÓRIA DE CÁLCULO'!D146</f>
        <v>2</v>
      </c>
      <c r="G311" s="586"/>
      <c r="H311" s="588">
        <f>ROUND(SUM(H312:H316),2)</f>
        <v>347.62</v>
      </c>
      <c r="I311" s="588">
        <f>ROUND(SUM(I312:I316),2)</f>
        <v>85.07</v>
      </c>
      <c r="J311" s="589">
        <f>H311+I311</f>
        <v>432.69</v>
      </c>
      <c r="K311" s="587">
        <f>H311*F311</f>
        <v>695.24</v>
      </c>
      <c r="L311" s="588">
        <f>I311*F311</f>
        <v>170.14</v>
      </c>
      <c r="M311" s="589">
        <f>K311+L311</f>
        <v>865.38</v>
      </c>
      <c r="N311" s="585">
        <f>M311*$N$7</f>
        <v>212.537328</v>
      </c>
      <c r="O311" s="585">
        <f>ROUND(M311+N311,2)</f>
        <v>1077.92</v>
      </c>
    </row>
    <row r="312" spans="1:15" s="25" customFormat="1" ht="14.25" x14ac:dyDescent="0.2">
      <c r="A312" s="168"/>
      <c r="B312" s="159"/>
      <c r="C312" s="34"/>
      <c r="D312" s="153" t="s">
        <v>335</v>
      </c>
      <c r="E312" s="34" t="s">
        <v>229</v>
      </c>
      <c r="F312" s="148">
        <v>3.3</v>
      </c>
      <c r="G312" s="35">
        <v>16.86</v>
      </c>
      <c r="H312" s="131"/>
      <c r="I312" s="30">
        <f>F312*G312</f>
        <v>55.637999999999998</v>
      </c>
      <c r="J312" s="132"/>
      <c r="K312" s="131"/>
      <c r="L312" s="30"/>
      <c r="M312" s="132"/>
      <c r="N312" s="117"/>
      <c r="O312" s="117"/>
    </row>
    <row r="313" spans="1:15" s="25" customFormat="1" ht="14.25" x14ac:dyDescent="0.2">
      <c r="A313" s="168"/>
      <c r="B313" s="159"/>
      <c r="C313" s="34"/>
      <c r="D313" s="153" t="s">
        <v>207</v>
      </c>
      <c r="E313" s="34" t="s">
        <v>229</v>
      </c>
      <c r="F313" s="148">
        <v>3.3</v>
      </c>
      <c r="G313" s="35">
        <v>8.92</v>
      </c>
      <c r="H313" s="131"/>
      <c r="I313" s="30">
        <f>F313*G313</f>
        <v>29.436</v>
      </c>
      <c r="J313" s="132"/>
      <c r="K313" s="131"/>
      <c r="L313" s="30"/>
      <c r="M313" s="132"/>
      <c r="N313" s="115"/>
      <c r="O313" s="115"/>
    </row>
    <row r="314" spans="1:15" s="25" customFormat="1" ht="14.25" x14ac:dyDescent="0.2">
      <c r="A314" s="168"/>
      <c r="B314" s="159"/>
      <c r="C314" s="34"/>
      <c r="D314" s="153" t="s">
        <v>511</v>
      </c>
      <c r="E314" s="34" t="s">
        <v>253</v>
      </c>
      <c r="F314" s="148">
        <f>0.9*0.75*1.05</f>
        <v>0.7087500000000001</v>
      </c>
      <c r="G314" s="35">
        <v>212.25</v>
      </c>
      <c r="H314" s="131">
        <f>F314*G314</f>
        <v>150.43218750000003</v>
      </c>
      <c r="I314" s="30"/>
      <c r="J314" s="132"/>
      <c r="K314" s="131"/>
      <c r="L314" s="30"/>
      <c r="M314" s="132"/>
      <c r="N314" s="115"/>
      <c r="O314" s="115"/>
    </row>
    <row r="315" spans="1:15" s="25" customFormat="1" ht="14.25" x14ac:dyDescent="0.2">
      <c r="A315" s="168"/>
      <c r="B315" s="159"/>
      <c r="C315" s="34">
        <v>20241</v>
      </c>
      <c r="D315" s="153" t="s">
        <v>559</v>
      </c>
      <c r="E315" s="34" t="s">
        <v>135</v>
      </c>
      <c r="F315" s="148">
        <v>1</v>
      </c>
      <c r="G315" s="35">
        <v>83.85</v>
      </c>
      <c r="H315" s="131">
        <f>F315*G315</f>
        <v>83.85</v>
      </c>
      <c r="I315" s="30"/>
      <c r="J315" s="132"/>
      <c r="K315" s="131"/>
      <c r="L315" s="30"/>
      <c r="M315" s="132"/>
      <c r="N315" s="115"/>
      <c r="O315" s="115"/>
    </row>
    <row r="316" spans="1:15" s="25" customFormat="1" ht="16.5" x14ac:dyDescent="0.2">
      <c r="A316" s="168"/>
      <c r="B316" s="159"/>
      <c r="C316" s="458" t="s">
        <v>995</v>
      </c>
      <c r="D316" s="153" t="s">
        <v>560</v>
      </c>
      <c r="E316" s="34" t="s">
        <v>227</v>
      </c>
      <c r="F316" s="148">
        <v>1</v>
      </c>
      <c r="G316" s="35">
        <v>113.34</v>
      </c>
      <c r="H316" s="131">
        <f>F316*G316</f>
        <v>113.34</v>
      </c>
      <c r="I316" s="30"/>
      <c r="J316" s="132"/>
      <c r="K316" s="131"/>
      <c r="L316" s="30"/>
      <c r="M316" s="132"/>
      <c r="N316" s="115"/>
      <c r="O316" s="115"/>
    </row>
    <row r="317" spans="1:15" s="25" customFormat="1" ht="14.25" x14ac:dyDescent="0.2">
      <c r="A317" s="168"/>
      <c r="B317" s="159"/>
      <c r="C317" s="34"/>
      <c r="D317" s="153"/>
      <c r="E317" s="34"/>
      <c r="F317" s="148"/>
      <c r="G317" s="35"/>
      <c r="H317" s="131"/>
      <c r="I317" s="30"/>
      <c r="J317" s="132"/>
      <c r="K317" s="131"/>
      <c r="L317" s="30"/>
      <c r="M317" s="132"/>
      <c r="N317" s="115"/>
      <c r="O317" s="115"/>
    </row>
    <row r="318" spans="1:15" s="25" customFormat="1" ht="22.5" x14ac:dyDescent="0.2">
      <c r="A318" s="581" t="s">
        <v>278</v>
      </c>
      <c r="B318" s="582">
        <v>27008000022</v>
      </c>
      <c r="C318" s="583" t="s">
        <v>644</v>
      </c>
      <c r="D318" s="584" t="s">
        <v>754</v>
      </c>
      <c r="E318" s="583" t="s">
        <v>227</v>
      </c>
      <c r="F318" s="585">
        <f>'MEMÓRIA DE CÁLCULO'!D147</f>
        <v>4</v>
      </c>
      <c r="G318" s="586"/>
      <c r="H318" s="588">
        <f>ROUND(SUM(H319:H322),2)</f>
        <v>528.74</v>
      </c>
      <c r="I318" s="588">
        <f>ROUND(SUM(I319:I322),2)</f>
        <v>146.16999999999999</v>
      </c>
      <c r="J318" s="589">
        <f>H318+I318</f>
        <v>674.91</v>
      </c>
      <c r="K318" s="587">
        <f>H318*F318</f>
        <v>2114.96</v>
      </c>
      <c r="L318" s="588">
        <f>I318*F318</f>
        <v>584.67999999999995</v>
      </c>
      <c r="M318" s="589">
        <f>K318+L318</f>
        <v>2699.64</v>
      </c>
      <c r="N318" s="585">
        <f>M318*$N$7</f>
        <v>663.03158399999995</v>
      </c>
      <c r="O318" s="585">
        <f>ROUND(M318+N318,2)</f>
        <v>3362.67</v>
      </c>
    </row>
    <row r="319" spans="1:15" s="25" customFormat="1" ht="14.25" x14ac:dyDescent="0.2">
      <c r="A319" s="168"/>
      <c r="B319" s="159"/>
      <c r="C319" s="34"/>
      <c r="D319" s="153" t="s">
        <v>335</v>
      </c>
      <c r="E319" s="34" t="s">
        <v>229</v>
      </c>
      <c r="F319" s="148">
        <f>1.8*0.9*3.5</f>
        <v>5.67</v>
      </c>
      <c r="G319" s="35">
        <v>16.86</v>
      </c>
      <c r="H319" s="131"/>
      <c r="I319" s="30">
        <f>F319*G319</f>
        <v>95.596199999999996</v>
      </c>
      <c r="J319" s="132"/>
      <c r="K319" s="131"/>
      <c r="L319" s="30"/>
      <c r="M319" s="132"/>
      <c r="N319" s="117"/>
      <c r="O319" s="117"/>
    </row>
    <row r="320" spans="1:15" s="25" customFormat="1" ht="14.25" x14ac:dyDescent="0.2">
      <c r="A320" s="168"/>
      <c r="B320" s="159"/>
      <c r="C320" s="34"/>
      <c r="D320" s="153" t="s">
        <v>207</v>
      </c>
      <c r="E320" s="34" t="s">
        <v>229</v>
      </c>
      <c r="F320" s="148">
        <f>1.8*0.9*3.5</f>
        <v>5.67</v>
      </c>
      <c r="G320" s="35">
        <v>8.92</v>
      </c>
      <c r="H320" s="131"/>
      <c r="I320" s="30">
        <f>F320*G320</f>
        <v>50.5764</v>
      </c>
      <c r="J320" s="132"/>
      <c r="K320" s="131"/>
      <c r="L320" s="30"/>
      <c r="M320" s="132"/>
      <c r="N320" s="115"/>
      <c r="O320" s="115"/>
    </row>
    <row r="321" spans="1:15" s="25" customFormat="1" ht="14.25" x14ac:dyDescent="0.2">
      <c r="A321" s="168"/>
      <c r="B321" s="159"/>
      <c r="C321" s="34"/>
      <c r="D321" s="153" t="s">
        <v>511</v>
      </c>
      <c r="E321" s="34" t="s">
        <v>253</v>
      </c>
      <c r="F321" s="148">
        <f>1.8*0.9*1.05</f>
        <v>1.7010000000000003</v>
      </c>
      <c r="G321" s="35">
        <v>212.25</v>
      </c>
      <c r="H321" s="131">
        <f>F321*G321</f>
        <v>361.03725000000009</v>
      </c>
      <c r="I321" s="30"/>
      <c r="J321" s="132"/>
      <c r="K321" s="131"/>
      <c r="L321" s="30"/>
      <c r="M321" s="132"/>
      <c r="N321" s="115"/>
      <c r="O321" s="115"/>
    </row>
    <row r="322" spans="1:15" s="25" customFormat="1" ht="14.25" x14ac:dyDescent="0.2">
      <c r="A322" s="168"/>
      <c r="B322" s="159"/>
      <c r="C322" s="34">
        <v>20241</v>
      </c>
      <c r="D322" s="153" t="s">
        <v>559</v>
      </c>
      <c r="E322" s="34" t="s">
        <v>135</v>
      </c>
      <c r="F322" s="148">
        <v>2</v>
      </c>
      <c r="G322" s="35">
        <v>83.85</v>
      </c>
      <c r="H322" s="131">
        <f>F322*G322</f>
        <v>167.7</v>
      </c>
      <c r="I322" s="30"/>
      <c r="J322" s="132"/>
      <c r="K322" s="131"/>
      <c r="L322" s="30"/>
      <c r="M322" s="132"/>
      <c r="N322" s="115"/>
      <c r="O322" s="115"/>
    </row>
    <row r="323" spans="1:15" s="25" customFormat="1" ht="14.25" x14ac:dyDescent="0.2">
      <c r="A323" s="168"/>
      <c r="B323" s="159"/>
      <c r="C323" s="34"/>
      <c r="D323" s="153"/>
      <c r="E323" s="34"/>
      <c r="F323" s="148"/>
      <c r="G323" s="35"/>
      <c r="H323" s="131"/>
      <c r="I323" s="30"/>
      <c r="J323" s="132"/>
      <c r="K323" s="131"/>
      <c r="L323" s="30"/>
      <c r="M323" s="132"/>
      <c r="N323" s="115"/>
      <c r="O323" s="115"/>
    </row>
    <row r="324" spans="1:15" s="25" customFormat="1" ht="22.5" x14ac:dyDescent="0.2">
      <c r="A324" s="581" t="s">
        <v>278</v>
      </c>
      <c r="B324" s="582">
        <v>27008000022</v>
      </c>
      <c r="C324" s="583" t="s">
        <v>645</v>
      </c>
      <c r="D324" s="584" t="s">
        <v>755</v>
      </c>
      <c r="E324" s="583" t="s">
        <v>227</v>
      </c>
      <c r="F324" s="585">
        <f>'MEMÓRIA DE CÁLCULO'!D148</f>
        <v>2</v>
      </c>
      <c r="G324" s="586"/>
      <c r="H324" s="588">
        <f>ROUND(SUM(H325:H328),2)</f>
        <v>649.08000000000004</v>
      </c>
      <c r="I324" s="588">
        <f>ROUND(SUM(I325:I328),2)</f>
        <v>194.9</v>
      </c>
      <c r="J324" s="589">
        <f>H324+I324</f>
        <v>843.98</v>
      </c>
      <c r="K324" s="587">
        <f>H324*F324</f>
        <v>1298.1600000000001</v>
      </c>
      <c r="L324" s="588">
        <f>I324*F324</f>
        <v>389.8</v>
      </c>
      <c r="M324" s="589">
        <f>K324+L324</f>
        <v>1687.96</v>
      </c>
      <c r="N324" s="585">
        <f>M324*$N$7</f>
        <v>414.56297600000005</v>
      </c>
      <c r="O324" s="585">
        <f>ROUND(M324+N324,2)</f>
        <v>2102.52</v>
      </c>
    </row>
    <row r="325" spans="1:15" s="25" customFormat="1" ht="14.25" x14ac:dyDescent="0.2">
      <c r="A325" s="168"/>
      <c r="B325" s="159"/>
      <c r="C325" s="34"/>
      <c r="D325" s="153" t="s">
        <v>335</v>
      </c>
      <c r="E325" s="34" t="s">
        <v>229</v>
      </c>
      <c r="F325" s="148">
        <f>1.8*1.2*3.5</f>
        <v>7.5600000000000005</v>
      </c>
      <c r="G325" s="35">
        <v>16.86</v>
      </c>
      <c r="H325" s="131"/>
      <c r="I325" s="30">
        <f>F325*G325</f>
        <v>127.4616</v>
      </c>
      <c r="J325" s="132"/>
      <c r="K325" s="131"/>
      <c r="L325" s="30"/>
      <c r="M325" s="132"/>
      <c r="N325" s="117"/>
      <c r="O325" s="117"/>
    </row>
    <row r="326" spans="1:15" s="25" customFormat="1" ht="14.25" x14ac:dyDescent="0.2">
      <c r="A326" s="168"/>
      <c r="B326" s="159"/>
      <c r="C326" s="34"/>
      <c r="D326" s="153" t="s">
        <v>207</v>
      </c>
      <c r="E326" s="34" t="s">
        <v>229</v>
      </c>
      <c r="F326" s="148">
        <f>1.8*1.2*3.5</f>
        <v>7.5600000000000005</v>
      </c>
      <c r="G326" s="35">
        <v>8.92</v>
      </c>
      <c r="H326" s="131"/>
      <c r="I326" s="30">
        <f>F326*G326</f>
        <v>67.435200000000009</v>
      </c>
      <c r="J326" s="132"/>
      <c r="K326" s="131"/>
      <c r="L326" s="30"/>
      <c r="M326" s="132"/>
      <c r="N326" s="115"/>
      <c r="O326" s="115"/>
    </row>
    <row r="327" spans="1:15" s="25" customFormat="1" ht="14.25" x14ac:dyDescent="0.2">
      <c r="A327" s="168"/>
      <c r="B327" s="159"/>
      <c r="C327" s="34"/>
      <c r="D327" s="153" t="s">
        <v>511</v>
      </c>
      <c r="E327" s="34" t="s">
        <v>253</v>
      </c>
      <c r="F327" s="148">
        <f>1.8*1.2*1.05</f>
        <v>2.2680000000000002</v>
      </c>
      <c r="G327" s="35">
        <v>212.25</v>
      </c>
      <c r="H327" s="131">
        <f>F327*G327</f>
        <v>481.38300000000004</v>
      </c>
      <c r="I327" s="30"/>
      <c r="J327" s="132"/>
      <c r="K327" s="131"/>
      <c r="L327" s="30"/>
      <c r="M327" s="132"/>
      <c r="N327" s="115"/>
      <c r="O327" s="115"/>
    </row>
    <row r="328" spans="1:15" s="25" customFormat="1" ht="14.25" x14ac:dyDescent="0.2">
      <c r="A328" s="168"/>
      <c r="B328" s="159"/>
      <c r="C328" s="34">
        <v>20241</v>
      </c>
      <c r="D328" s="153" t="s">
        <v>559</v>
      </c>
      <c r="E328" s="34" t="s">
        <v>135</v>
      </c>
      <c r="F328" s="148">
        <v>2</v>
      </c>
      <c r="G328" s="35">
        <v>83.85</v>
      </c>
      <c r="H328" s="131">
        <f>F328*G328</f>
        <v>167.7</v>
      </c>
      <c r="I328" s="30"/>
      <c r="J328" s="132"/>
      <c r="K328" s="131"/>
      <c r="L328" s="30"/>
      <c r="M328" s="132"/>
      <c r="N328" s="115"/>
      <c r="O328" s="115"/>
    </row>
    <row r="329" spans="1:15" s="25" customFormat="1" ht="14.25" x14ac:dyDescent="0.2">
      <c r="A329" s="168"/>
      <c r="B329" s="159"/>
      <c r="C329" s="34"/>
      <c r="D329" s="153"/>
      <c r="E329" s="34"/>
      <c r="F329" s="148"/>
      <c r="G329" s="35"/>
      <c r="H329" s="131"/>
      <c r="I329" s="30"/>
      <c r="J329" s="132"/>
      <c r="K329" s="131"/>
      <c r="L329" s="30"/>
      <c r="M329" s="132"/>
      <c r="N329" s="115"/>
      <c r="O329" s="115"/>
    </row>
    <row r="330" spans="1:15" s="25" customFormat="1" ht="22.5" x14ac:dyDescent="0.2">
      <c r="A330" s="581" t="s">
        <v>278</v>
      </c>
      <c r="B330" s="582">
        <v>27008000022</v>
      </c>
      <c r="C330" s="583" t="s">
        <v>646</v>
      </c>
      <c r="D330" s="584" t="s">
        <v>884</v>
      </c>
      <c r="E330" s="583" t="s">
        <v>227</v>
      </c>
      <c r="F330" s="585">
        <f>'MEMÓRIA DE CÁLCULO'!D149</f>
        <v>4</v>
      </c>
      <c r="G330" s="586"/>
      <c r="H330" s="588">
        <f>ROUND(SUM(H331:H334),2)</f>
        <v>408.39</v>
      </c>
      <c r="I330" s="588">
        <f>ROUND(SUM(I331:I334),2)</f>
        <v>97.45</v>
      </c>
      <c r="J330" s="589">
        <f>H330+I330</f>
        <v>505.84</v>
      </c>
      <c r="K330" s="587">
        <f>H330*F330</f>
        <v>1633.56</v>
      </c>
      <c r="L330" s="588">
        <f>I330*F330</f>
        <v>389.8</v>
      </c>
      <c r="M330" s="589">
        <f>K330+L330</f>
        <v>2023.36</v>
      </c>
      <c r="N330" s="585">
        <f>M330*$N$7</f>
        <v>496.93721599999998</v>
      </c>
      <c r="O330" s="585">
        <f>ROUND(M330+N330,2)</f>
        <v>2520.3000000000002</v>
      </c>
    </row>
    <row r="331" spans="1:15" s="25" customFormat="1" ht="14.25" x14ac:dyDescent="0.2">
      <c r="A331" s="168"/>
      <c r="B331" s="159"/>
      <c r="C331" s="34"/>
      <c r="D331" s="153" t="s">
        <v>335</v>
      </c>
      <c r="E331" s="34" t="s">
        <v>229</v>
      </c>
      <c r="F331" s="148">
        <f>1.8*0.6*3.5</f>
        <v>3.7800000000000002</v>
      </c>
      <c r="G331" s="35">
        <v>16.86</v>
      </c>
      <c r="H331" s="131"/>
      <c r="I331" s="30">
        <f>F331*G331</f>
        <v>63.730800000000002</v>
      </c>
      <c r="J331" s="132"/>
      <c r="K331" s="131"/>
      <c r="L331" s="30"/>
      <c r="M331" s="132"/>
      <c r="N331" s="117"/>
      <c r="O331" s="117"/>
    </row>
    <row r="332" spans="1:15" s="25" customFormat="1" ht="14.25" x14ac:dyDescent="0.2">
      <c r="A332" s="168"/>
      <c r="B332" s="159"/>
      <c r="C332" s="34"/>
      <c r="D332" s="153" t="s">
        <v>207</v>
      </c>
      <c r="E332" s="34" t="s">
        <v>229</v>
      </c>
      <c r="F332" s="148">
        <f>1.8*0.6*3.5</f>
        <v>3.7800000000000002</v>
      </c>
      <c r="G332" s="35">
        <v>8.92</v>
      </c>
      <c r="H332" s="131"/>
      <c r="I332" s="30">
        <f>F332*G332</f>
        <v>33.717600000000004</v>
      </c>
      <c r="J332" s="132"/>
      <c r="K332" s="131"/>
      <c r="L332" s="30"/>
      <c r="M332" s="132"/>
      <c r="N332" s="115"/>
      <c r="O332" s="115"/>
    </row>
    <row r="333" spans="1:15" s="25" customFormat="1" ht="14.25" x14ac:dyDescent="0.2">
      <c r="A333" s="168"/>
      <c r="B333" s="159"/>
      <c r="C333" s="34"/>
      <c r="D333" s="153" t="s">
        <v>511</v>
      </c>
      <c r="E333" s="34" t="s">
        <v>253</v>
      </c>
      <c r="F333" s="148">
        <f>1.8*0.6*1.05</f>
        <v>1.1340000000000001</v>
      </c>
      <c r="G333" s="35">
        <v>212.25</v>
      </c>
      <c r="H333" s="131">
        <f>F333*G333</f>
        <v>240.69150000000002</v>
      </c>
      <c r="I333" s="30"/>
      <c r="J333" s="132"/>
      <c r="K333" s="131"/>
      <c r="L333" s="30"/>
      <c r="M333" s="132"/>
      <c r="N333" s="115"/>
      <c r="O333" s="115"/>
    </row>
    <row r="334" spans="1:15" s="25" customFormat="1" ht="14.25" x14ac:dyDescent="0.2">
      <c r="A334" s="168"/>
      <c r="B334" s="159"/>
      <c r="C334" s="34">
        <v>20241</v>
      </c>
      <c r="D334" s="153" t="s">
        <v>559</v>
      </c>
      <c r="E334" s="34" t="s">
        <v>135</v>
      </c>
      <c r="F334" s="148">
        <v>2</v>
      </c>
      <c r="G334" s="35">
        <v>83.85</v>
      </c>
      <c r="H334" s="131">
        <f>F334*G334</f>
        <v>167.7</v>
      </c>
      <c r="I334" s="30"/>
      <c r="J334" s="132"/>
      <c r="K334" s="131"/>
      <c r="L334" s="30"/>
      <c r="M334" s="132"/>
      <c r="N334" s="115"/>
      <c r="O334" s="115"/>
    </row>
    <row r="335" spans="1:15" s="25" customFormat="1" ht="14.25" x14ac:dyDescent="0.2">
      <c r="A335" s="168"/>
      <c r="B335" s="159"/>
      <c r="C335" s="34"/>
      <c r="D335" s="153"/>
      <c r="E335" s="34"/>
      <c r="F335" s="148"/>
      <c r="G335" s="35"/>
      <c r="H335" s="131"/>
      <c r="I335" s="30"/>
      <c r="J335" s="132"/>
      <c r="K335" s="131"/>
      <c r="L335" s="30"/>
      <c r="M335" s="132"/>
      <c r="N335" s="115"/>
      <c r="O335" s="115"/>
    </row>
    <row r="336" spans="1:15" s="25" customFormat="1" ht="22.5" x14ac:dyDescent="0.2">
      <c r="A336" s="581" t="s">
        <v>278</v>
      </c>
      <c r="B336" s="582">
        <v>27008000022</v>
      </c>
      <c r="C336" s="583" t="s">
        <v>944</v>
      </c>
      <c r="D336" s="584" t="s">
        <v>111</v>
      </c>
      <c r="E336" s="583" t="s">
        <v>227</v>
      </c>
      <c r="F336" s="585">
        <f>'MEMÓRIA DE CÁLCULO'!D150</f>
        <v>1</v>
      </c>
      <c r="G336" s="586"/>
      <c r="H336" s="588">
        <f>ROUND(SUM(H337:H340),2)</f>
        <v>1690.4</v>
      </c>
      <c r="I336" s="588">
        <f>ROUND(SUM(I337:I340),2)</f>
        <v>438.52</v>
      </c>
      <c r="J336" s="589">
        <f>H336+I336</f>
        <v>2128.92</v>
      </c>
      <c r="K336" s="587">
        <f>H336*F336</f>
        <v>1690.4</v>
      </c>
      <c r="L336" s="588">
        <f>I336*F336</f>
        <v>438.52</v>
      </c>
      <c r="M336" s="589">
        <f>K336+L336</f>
        <v>2128.92</v>
      </c>
      <c r="N336" s="585">
        <f>M336*$N$7</f>
        <v>522.862752</v>
      </c>
      <c r="O336" s="585">
        <f>ROUND(M336+N336,2)</f>
        <v>2651.78</v>
      </c>
    </row>
    <row r="337" spans="1:15" s="25" customFormat="1" ht="14.25" x14ac:dyDescent="0.2">
      <c r="A337" s="168"/>
      <c r="B337" s="159"/>
      <c r="C337" s="34"/>
      <c r="D337" s="153" t="s">
        <v>335</v>
      </c>
      <c r="E337" s="34" t="s">
        <v>229</v>
      </c>
      <c r="F337" s="148">
        <f>1.8*2.7*3.5</f>
        <v>17.010000000000002</v>
      </c>
      <c r="G337" s="35">
        <v>16.86</v>
      </c>
      <c r="H337" s="131"/>
      <c r="I337" s="30">
        <f>F337*G337</f>
        <v>286.78860000000003</v>
      </c>
      <c r="J337" s="132"/>
      <c r="K337" s="131"/>
      <c r="L337" s="30"/>
      <c r="M337" s="132"/>
      <c r="N337" s="117"/>
      <c r="O337" s="117"/>
    </row>
    <row r="338" spans="1:15" s="25" customFormat="1" ht="14.25" x14ac:dyDescent="0.2">
      <c r="A338" s="168"/>
      <c r="B338" s="159"/>
      <c r="C338" s="34"/>
      <c r="D338" s="153" t="s">
        <v>207</v>
      </c>
      <c r="E338" s="34" t="s">
        <v>229</v>
      </c>
      <c r="F338" s="148">
        <f>1.8*2.7*3.5</f>
        <v>17.010000000000002</v>
      </c>
      <c r="G338" s="35">
        <v>8.92</v>
      </c>
      <c r="H338" s="131"/>
      <c r="I338" s="30">
        <f>F338*G338</f>
        <v>151.72920000000002</v>
      </c>
      <c r="J338" s="132"/>
      <c r="K338" s="131"/>
      <c r="L338" s="30"/>
      <c r="M338" s="132"/>
      <c r="N338" s="115"/>
      <c r="O338" s="115"/>
    </row>
    <row r="339" spans="1:15" s="25" customFormat="1" ht="14.25" x14ac:dyDescent="0.2">
      <c r="A339" s="168"/>
      <c r="B339" s="159"/>
      <c r="C339" s="34"/>
      <c r="D339" s="153" t="s">
        <v>511</v>
      </c>
      <c r="E339" s="34" t="s">
        <v>253</v>
      </c>
      <c r="F339" s="148">
        <f>6.08*1.05</f>
        <v>6.3840000000000003</v>
      </c>
      <c r="G339" s="35">
        <v>212.25</v>
      </c>
      <c r="H339" s="131">
        <f>F339*G339</f>
        <v>1355.0040000000001</v>
      </c>
      <c r="I339" s="30"/>
      <c r="J339" s="132"/>
      <c r="K339" s="131"/>
      <c r="L339" s="30"/>
      <c r="M339" s="132"/>
      <c r="N339" s="115"/>
      <c r="O339" s="115"/>
    </row>
    <row r="340" spans="1:15" s="25" customFormat="1" ht="14.25" x14ac:dyDescent="0.2">
      <c r="A340" s="168"/>
      <c r="B340" s="159"/>
      <c r="C340" s="34">
        <v>20241</v>
      </c>
      <c r="D340" s="153" t="s">
        <v>559</v>
      </c>
      <c r="E340" s="34" t="s">
        <v>135</v>
      </c>
      <c r="F340" s="148">
        <v>4</v>
      </c>
      <c r="G340" s="35">
        <v>83.85</v>
      </c>
      <c r="H340" s="131">
        <f>F340*G340</f>
        <v>335.4</v>
      </c>
      <c r="I340" s="30"/>
      <c r="J340" s="132"/>
      <c r="K340" s="131"/>
      <c r="L340" s="30"/>
      <c r="M340" s="132"/>
      <c r="N340" s="115"/>
      <c r="O340" s="115"/>
    </row>
    <row r="341" spans="1:15" s="25" customFormat="1" ht="14.25" x14ac:dyDescent="0.2">
      <c r="A341" s="168"/>
      <c r="B341" s="159"/>
      <c r="C341" s="34"/>
      <c r="D341" s="153"/>
      <c r="E341" s="34"/>
      <c r="F341" s="148"/>
      <c r="G341" s="35"/>
      <c r="H341" s="131"/>
      <c r="I341" s="30"/>
      <c r="J341" s="132"/>
      <c r="K341" s="131"/>
      <c r="L341" s="30"/>
      <c r="M341" s="132"/>
      <c r="N341" s="115"/>
      <c r="O341" s="115"/>
    </row>
    <row r="342" spans="1:15" s="25" customFormat="1" ht="33.75" x14ac:dyDescent="0.2">
      <c r="A342" s="581" t="s">
        <v>558</v>
      </c>
      <c r="B342" s="582" t="s">
        <v>178</v>
      </c>
      <c r="C342" s="583" t="s">
        <v>647</v>
      </c>
      <c r="D342" s="584" t="s">
        <v>673</v>
      </c>
      <c r="E342" s="583" t="s">
        <v>281</v>
      </c>
      <c r="F342" s="585">
        <v>2</v>
      </c>
      <c r="G342" s="586"/>
      <c r="H342" s="587">
        <f>582.67*1.05</f>
        <v>611.80349999999999</v>
      </c>
      <c r="I342" s="588">
        <v>0</v>
      </c>
      <c r="J342" s="589">
        <f>H342+I342</f>
        <v>611.80349999999999</v>
      </c>
      <c r="K342" s="587">
        <f>H342*F342</f>
        <v>1223.607</v>
      </c>
      <c r="L342" s="588">
        <f>I342*F342</f>
        <v>0</v>
      </c>
      <c r="M342" s="589">
        <f>K342+L342</f>
        <v>1223.607</v>
      </c>
      <c r="N342" s="585">
        <f>M342*$N$7</f>
        <v>300.51787919999998</v>
      </c>
      <c r="O342" s="585">
        <f>ROUND(M342+N342,2)</f>
        <v>1524.12</v>
      </c>
    </row>
    <row r="343" spans="1:15" s="25" customFormat="1" ht="14.25" x14ac:dyDescent="0.2">
      <c r="A343" s="166"/>
      <c r="B343" s="160"/>
      <c r="C343" s="31"/>
      <c r="D343" s="146" t="s">
        <v>288</v>
      </c>
      <c r="E343" s="32"/>
      <c r="F343" s="147"/>
      <c r="G343" s="33"/>
      <c r="H343" s="129"/>
      <c r="I343" s="29"/>
      <c r="J343" s="130"/>
      <c r="K343" s="129"/>
      <c r="L343" s="29"/>
      <c r="M343" s="130"/>
      <c r="N343" s="115"/>
      <c r="O343" s="115"/>
    </row>
    <row r="344" spans="1:15" s="25" customFormat="1" ht="14.25" x14ac:dyDescent="0.2">
      <c r="A344" s="167"/>
      <c r="B344" s="149"/>
      <c r="C344" s="152"/>
      <c r="D344" s="154" t="s">
        <v>295</v>
      </c>
      <c r="E344" s="152"/>
      <c r="F344" s="113"/>
      <c r="G344" s="145"/>
      <c r="H344" s="127"/>
      <c r="I344" s="37"/>
      <c r="J344" s="128"/>
      <c r="K344" s="127"/>
      <c r="L344" s="37"/>
      <c r="M344" s="128"/>
      <c r="N344" s="113"/>
      <c r="O344" s="113"/>
    </row>
    <row r="345" spans="1:15" s="25" customFormat="1" ht="14.25" x14ac:dyDescent="0.2">
      <c r="A345" s="166"/>
      <c r="B345" s="160"/>
      <c r="C345" s="31"/>
      <c r="D345" s="146" t="s">
        <v>288</v>
      </c>
      <c r="E345" s="32"/>
      <c r="F345" s="147"/>
      <c r="G345" s="33"/>
      <c r="H345" s="129"/>
      <c r="I345" s="29"/>
      <c r="J345" s="130"/>
      <c r="K345" s="129"/>
      <c r="L345" s="29"/>
      <c r="M345" s="130"/>
      <c r="N345" s="117"/>
      <c r="O345" s="117"/>
    </row>
    <row r="346" spans="1:15" s="25" customFormat="1" ht="22.5" x14ac:dyDescent="0.2">
      <c r="A346" s="581"/>
      <c r="B346" s="582" t="s">
        <v>987</v>
      </c>
      <c r="C346" s="583" t="s">
        <v>943</v>
      </c>
      <c r="D346" s="584" t="s">
        <v>996</v>
      </c>
      <c r="E346" s="583" t="s">
        <v>281</v>
      </c>
      <c r="F346" s="585">
        <v>1</v>
      </c>
      <c r="G346" s="586"/>
      <c r="H346" s="587">
        <v>99.97</v>
      </c>
      <c r="I346" s="588">
        <v>150</v>
      </c>
      <c r="J346" s="589">
        <f>H346+I346</f>
        <v>249.97</v>
      </c>
      <c r="K346" s="587">
        <f>H346*F346</f>
        <v>99.97</v>
      </c>
      <c r="L346" s="588">
        <f>I346*F346</f>
        <v>150</v>
      </c>
      <c r="M346" s="589">
        <f>K346+L346</f>
        <v>249.97</v>
      </c>
      <c r="N346" s="585">
        <f>M346*$N$7</f>
        <v>61.392632000000006</v>
      </c>
      <c r="O346" s="585">
        <f>ROUND(M346+N346,2)</f>
        <v>311.36</v>
      </c>
    </row>
    <row r="347" spans="1:15" s="25" customFormat="1" ht="27" x14ac:dyDescent="0.2">
      <c r="A347" s="166"/>
      <c r="B347" s="592" t="s">
        <v>997</v>
      </c>
      <c r="C347" s="31"/>
      <c r="D347" s="146" t="s">
        <v>288</v>
      </c>
      <c r="E347" s="32"/>
      <c r="F347" s="147"/>
      <c r="G347" s="33"/>
      <c r="H347" s="129"/>
      <c r="I347" s="29"/>
      <c r="J347" s="130"/>
      <c r="K347" s="129"/>
      <c r="L347" s="29"/>
      <c r="M347" s="130"/>
      <c r="N347" s="115"/>
      <c r="O347" s="115"/>
    </row>
    <row r="348" spans="1:15" s="25" customFormat="1" ht="22.5" x14ac:dyDescent="0.2">
      <c r="A348" s="581" t="s">
        <v>277</v>
      </c>
      <c r="B348" s="582" t="s">
        <v>1000</v>
      </c>
      <c r="C348" s="583" t="s">
        <v>648</v>
      </c>
      <c r="D348" s="584" t="s">
        <v>110</v>
      </c>
      <c r="E348" s="583" t="s">
        <v>281</v>
      </c>
      <c r="F348" s="585">
        <f>'MEMÓRIA DE CÁLCULO'!D140</f>
        <v>1</v>
      </c>
      <c r="G348" s="586"/>
      <c r="H348" s="587">
        <v>845.85</v>
      </c>
      <c r="I348" s="588">
        <v>52.69</v>
      </c>
      <c r="J348" s="589">
        <f>H348+I348</f>
        <v>898.54</v>
      </c>
      <c r="K348" s="587">
        <f>H348*F348</f>
        <v>845.85</v>
      </c>
      <c r="L348" s="588">
        <f>I348*F348</f>
        <v>52.69</v>
      </c>
      <c r="M348" s="589">
        <f>K348+L348</f>
        <v>898.54</v>
      </c>
      <c r="N348" s="585">
        <f>M348*$N$7</f>
        <v>220.68142399999999</v>
      </c>
      <c r="O348" s="585">
        <f>ROUND(M348+N348,2)</f>
        <v>1119.22</v>
      </c>
    </row>
    <row r="349" spans="1:15" s="25" customFormat="1" ht="14.25" x14ac:dyDescent="0.2">
      <c r="A349" s="166"/>
      <c r="B349" s="160"/>
      <c r="C349" s="31"/>
      <c r="D349" s="146" t="s">
        <v>288</v>
      </c>
      <c r="E349" s="32"/>
      <c r="F349" s="147"/>
      <c r="G349" s="33"/>
      <c r="H349" s="129"/>
      <c r="I349" s="29"/>
      <c r="J349" s="130"/>
      <c r="K349" s="129"/>
      <c r="L349" s="29"/>
      <c r="M349" s="130"/>
      <c r="N349" s="115"/>
      <c r="O349" s="115"/>
    </row>
    <row r="350" spans="1:15" s="356" customFormat="1" ht="11.25" x14ac:dyDescent="0.2">
      <c r="A350" s="424"/>
      <c r="B350" s="425"/>
      <c r="C350" s="426"/>
      <c r="D350" s="427" t="s">
        <v>436</v>
      </c>
      <c r="E350" s="428"/>
      <c r="F350" s="429"/>
      <c r="G350" s="430"/>
      <c r="H350" s="431"/>
      <c r="I350" s="432"/>
      <c r="J350" s="433"/>
      <c r="K350" s="431"/>
      <c r="L350" s="432"/>
      <c r="M350" s="433"/>
      <c r="N350" s="434"/>
      <c r="O350" s="434"/>
    </row>
    <row r="351" spans="1:15" s="25" customFormat="1" ht="14.25" x14ac:dyDescent="0.2">
      <c r="A351" s="166"/>
      <c r="B351" s="160"/>
      <c r="C351" s="31"/>
      <c r="D351" s="146" t="s">
        <v>288</v>
      </c>
      <c r="E351" s="32"/>
      <c r="F351" s="147"/>
      <c r="G351" s="33"/>
      <c r="H351" s="129"/>
      <c r="I351" s="29"/>
      <c r="J351" s="130"/>
      <c r="K351" s="129"/>
      <c r="L351" s="29"/>
      <c r="M351" s="130"/>
      <c r="N351" s="115"/>
      <c r="O351" s="115"/>
    </row>
    <row r="352" spans="1:15" s="25" customFormat="1" ht="14.25" x14ac:dyDescent="0.2">
      <c r="A352" s="167"/>
      <c r="B352" s="149"/>
      <c r="C352" s="152"/>
      <c r="D352" s="154" t="s">
        <v>322</v>
      </c>
      <c r="E352" s="152"/>
      <c r="F352" s="113"/>
      <c r="G352" s="145"/>
      <c r="H352" s="127"/>
      <c r="I352" s="37"/>
      <c r="J352" s="128"/>
      <c r="K352" s="127"/>
      <c r="L352" s="37"/>
      <c r="M352" s="128"/>
      <c r="N352" s="113"/>
      <c r="O352" s="113"/>
    </row>
    <row r="353" spans="1:15" s="25" customFormat="1" ht="14.25" x14ac:dyDescent="0.2">
      <c r="A353" s="166"/>
      <c r="B353" s="160"/>
      <c r="C353" s="31"/>
      <c r="D353" s="146" t="s">
        <v>288</v>
      </c>
      <c r="E353" s="32"/>
      <c r="F353" s="147"/>
      <c r="G353" s="33"/>
      <c r="H353" s="129"/>
      <c r="I353" s="29"/>
      <c r="J353" s="130"/>
      <c r="K353" s="129"/>
      <c r="L353" s="29"/>
      <c r="M353" s="130"/>
      <c r="N353" s="115"/>
      <c r="O353" s="115"/>
    </row>
    <row r="354" spans="1:15" s="25" customFormat="1" ht="101.25" x14ac:dyDescent="0.2">
      <c r="A354" s="581" t="s">
        <v>203</v>
      </c>
      <c r="B354" s="582"/>
      <c r="C354" s="583" t="s">
        <v>649</v>
      </c>
      <c r="D354" s="584" t="s">
        <v>885</v>
      </c>
      <c r="E354" s="583" t="s">
        <v>281</v>
      </c>
      <c r="F354" s="585">
        <f>'MEMÓRIA DE CÁLCULO'!D158</f>
        <v>5</v>
      </c>
      <c r="G354" s="586"/>
      <c r="H354" s="587">
        <v>2800</v>
      </c>
      <c r="I354" s="588">
        <v>98.25</v>
      </c>
      <c r="J354" s="589">
        <f>H354+I354</f>
        <v>2898.25</v>
      </c>
      <c r="K354" s="587">
        <f>H354*F354</f>
        <v>14000</v>
      </c>
      <c r="L354" s="588">
        <f>I354*F354</f>
        <v>491.25</v>
      </c>
      <c r="M354" s="589">
        <f>K354+L354</f>
        <v>14491.25</v>
      </c>
      <c r="N354" s="585">
        <f>M354*$N$7</f>
        <v>3559.0510000000004</v>
      </c>
      <c r="O354" s="585">
        <f>ROUND(M354+N354,2)</f>
        <v>18050.3</v>
      </c>
    </row>
    <row r="355" spans="1:15" s="25" customFormat="1" ht="14.25" x14ac:dyDescent="0.2">
      <c r="A355" s="166"/>
      <c r="B355" s="160"/>
      <c r="C355" s="31"/>
      <c r="D355" s="146" t="s">
        <v>288</v>
      </c>
      <c r="E355" s="32"/>
      <c r="F355" s="147"/>
      <c r="G355" s="33"/>
      <c r="H355" s="129"/>
      <c r="I355" s="29"/>
      <c r="J355" s="130"/>
      <c r="K355" s="129"/>
      <c r="L355" s="29"/>
      <c r="M355" s="130"/>
      <c r="N355" s="115"/>
      <c r="O355" s="115"/>
    </row>
    <row r="356" spans="1:15" s="25" customFormat="1" ht="45" x14ac:dyDescent="0.2">
      <c r="A356" s="581" t="s">
        <v>277</v>
      </c>
      <c r="B356" s="582" t="s">
        <v>989</v>
      </c>
      <c r="C356" s="583" t="s">
        <v>650</v>
      </c>
      <c r="D356" s="584" t="s">
        <v>670</v>
      </c>
      <c r="E356" s="583" t="s">
        <v>281</v>
      </c>
      <c r="F356" s="585">
        <f>'MEMÓRIA DE CÁLCULO'!D154</f>
        <v>2</v>
      </c>
      <c r="G356" s="586"/>
      <c r="H356" s="587">
        <v>353.68</v>
      </c>
      <c r="I356" s="588">
        <v>98.25</v>
      </c>
      <c r="J356" s="589">
        <f>H356+I356</f>
        <v>451.93</v>
      </c>
      <c r="K356" s="587">
        <f>H356*F356</f>
        <v>707.36</v>
      </c>
      <c r="L356" s="588">
        <f>I356*F356</f>
        <v>196.5</v>
      </c>
      <c r="M356" s="589">
        <f>K356+L356</f>
        <v>903.86</v>
      </c>
      <c r="N356" s="585">
        <f>M356*$N$7</f>
        <v>221.98801600000002</v>
      </c>
      <c r="O356" s="585">
        <f>ROUND(M356+N356,2)</f>
        <v>1125.8499999999999</v>
      </c>
    </row>
    <row r="357" spans="1:15" s="25" customFormat="1" ht="14.25" x14ac:dyDescent="0.2">
      <c r="A357" s="166"/>
      <c r="B357" s="160"/>
      <c r="C357" s="31"/>
      <c r="D357" s="146" t="s">
        <v>288</v>
      </c>
      <c r="E357" s="32"/>
      <c r="F357" s="147"/>
      <c r="G357" s="33"/>
      <c r="H357" s="129"/>
      <c r="I357" s="29"/>
      <c r="J357" s="130"/>
      <c r="K357" s="129"/>
      <c r="L357" s="29"/>
      <c r="M357" s="130"/>
      <c r="N357" s="115"/>
      <c r="O357" s="115"/>
    </row>
    <row r="358" spans="1:15" s="25" customFormat="1" ht="45" x14ac:dyDescent="0.2">
      <c r="A358" s="581" t="s">
        <v>277</v>
      </c>
      <c r="B358" s="582" t="s">
        <v>354</v>
      </c>
      <c r="C358" s="583" t="s">
        <v>651</v>
      </c>
      <c r="D358" s="584" t="s">
        <v>671</v>
      </c>
      <c r="E358" s="583" t="s">
        <v>281</v>
      </c>
      <c r="F358" s="585">
        <f>'MEMÓRIA DE CÁLCULO'!D155</f>
        <v>5</v>
      </c>
      <c r="G358" s="586"/>
      <c r="H358" s="587">
        <f>249.24+108.41</f>
        <v>357.65</v>
      </c>
      <c r="I358" s="588">
        <v>98.25</v>
      </c>
      <c r="J358" s="589">
        <f>H358+I358</f>
        <v>455.9</v>
      </c>
      <c r="K358" s="587">
        <f>H358*F358</f>
        <v>1788.25</v>
      </c>
      <c r="L358" s="588">
        <f>I358*F358</f>
        <v>491.25</v>
      </c>
      <c r="M358" s="589">
        <f>K358+L358</f>
        <v>2279.5</v>
      </c>
      <c r="N358" s="585">
        <f>M358*$N$7</f>
        <v>559.84519999999998</v>
      </c>
      <c r="O358" s="585">
        <f>ROUND(M358+N358,2)</f>
        <v>2839.35</v>
      </c>
    </row>
    <row r="359" spans="1:15" s="25" customFormat="1" ht="14.25" x14ac:dyDescent="0.2">
      <c r="A359" s="166"/>
      <c r="B359" s="160"/>
      <c r="C359" s="31"/>
      <c r="D359" s="146" t="s">
        <v>288</v>
      </c>
      <c r="E359" s="32"/>
      <c r="F359" s="147"/>
      <c r="G359" s="33"/>
      <c r="H359" s="129"/>
      <c r="I359" s="29"/>
      <c r="J359" s="130"/>
      <c r="K359" s="129"/>
      <c r="L359" s="29"/>
      <c r="M359" s="130"/>
      <c r="N359" s="115"/>
      <c r="O359" s="115"/>
    </row>
    <row r="360" spans="1:15" s="25" customFormat="1" ht="45" x14ac:dyDescent="0.2">
      <c r="A360" s="581" t="s">
        <v>277</v>
      </c>
      <c r="B360" s="582" t="s">
        <v>989</v>
      </c>
      <c r="C360" s="583" t="s">
        <v>652</v>
      </c>
      <c r="D360" s="584" t="s">
        <v>669</v>
      </c>
      <c r="E360" s="583" t="s">
        <v>281</v>
      </c>
      <c r="F360" s="585">
        <f>'MEMÓRIA DE CÁLCULO'!D156</f>
        <v>11</v>
      </c>
      <c r="G360" s="586"/>
      <c r="H360" s="587">
        <v>369.84</v>
      </c>
      <c r="I360" s="588">
        <v>98.25</v>
      </c>
      <c r="J360" s="589">
        <f>ROUND(H360+I360,2)</f>
        <v>468.09</v>
      </c>
      <c r="K360" s="587">
        <f>ROUND(F360*H360,2)</f>
        <v>4068.24</v>
      </c>
      <c r="L360" s="588">
        <f>ROUND(F360*I360,2)</f>
        <v>1080.75</v>
      </c>
      <c r="M360" s="589">
        <f>ROUND(K360+L360,2)</f>
        <v>5148.99</v>
      </c>
      <c r="N360" s="585">
        <f>ROUND(M360*$N$7,2)</f>
        <v>1264.5899999999999</v>
      </c>
      <c r="O360" s="585">
        <f>ROUND(M360+N360,2)</f>
        <v>6413.58</v>
      </c>
    </row>
    <row r="361" spans="1:15" s="25" customFormat="1" ht="14.25" x14ac:dyDescent="0.2">
      <c r="A361" s="166"/>
      <c r="B361" s="160"/>
      <c r="C361" s="31"/>
      <c r="D361" s="146" t="s">
        <v>288</v>
      </c>
      <c r="E361" s="32"/>
      <c r="F361" s="147"/>
      <c r="G361" s="33"/>
      <c r="H361" s="129"/>
      <c r="I361" s="29"/>
      <c r="J361" s="130"/>
      <c r="K361" s="129"/>
      <c r="L361" s="29"/>
      <c r="M361" s="130"/>
      <c r="N361" s="115"/>
      <c r="O361" s="115"/>
    </row>
    <row r="362" spans="1:15" s="25" customFormat="1" ht="45" x14ac:dyDescent="0.2">
      <c r="A362" s="581" t="s">
        <v>277</v>
      </c>
      <c r="B362" s="582" t="s">
        <v>355</v>
      </c>
      <c r="C362" s="583" t="s">
        <v>653</v>
      </c>
      <c r="D362" s="584" t="s">
        <v>672</v>
      </c>
      <c r="E362" s="583" t="s">
        <v>281</v>
      </c>
      <c r="F362" s="585">
        <f>'MEMÓRIA DE CÁLCULO'!D157</f>
        <v>1</v>
      </c>
      <c r="G362" s="586"/>
      <c r="H362" s="587">
        <v>605.66</v>
      </c>
      <c r="I362" s="588">
        <v>98.25</v>
      </c>
      <c r="J362" s="589">
        <f>H362+I362</f>
        <v>703.91</v>
      </c>
      <c r="K362" s="587">
        <f>H362*F362</f>
        <v>605.66</v>
      </c>
      <c r="L362" s="588">
        <f>I362*F362</f>
        <v>98.25</v>
      </c>
      <c r="M362" s="589">
        <f>K362+L362</f>
        <v>703.91</v>
      </c>
      <c r="N362" s="585">
        <f>M362*$N$7</f>
        <v>172.88029599999999</v>
      </c>
      <c r="O362" s="585">
        <f>ROUND(M362+N362,2)</f>
        <v>876.79</v>
      </c>
    </row>
    <row r="363" spans="1:15" s="25" customFormat="1" ht="14.25" x14ac:dyDescent="0.2">
      <c r="A363" s="166"/>
      <c r="B363" s="160"/>
      <c r="C363" s="31"/>
      <c r="D363" s="146" t="s">
        <v>288</v>
      </c>
      <c r="E363" s="32"/>
      <c r="F363" s="147"/>
      <c r="G363" s="33"/>
      <c r="H363" s="129"/>
      <c r="I363" s="29"/>
      <c r="J363" s="130"/>
      <c r="K363" s="129"/>
      <c r="L363" s="29"/>
      <c r="M363" s="130"/>
      <c r="N363" s="115"/>
      <c r="O363" s="115"/>
    </row>
    <row r="364" spans="1:15" s="25" customFormat="1" ht="14.25" x14ac:dyDescent="0.2">
      <c r="A364" s="167"/>
      <c r="B364" s="149"/>
      <c r="C364" s="152"/>
      <c r="D364" s="154" t="s">
        <v>189</v>
      </c>
      <c r="E364" s="152"/>
      <c r="F364" s="113"/>
      <c r="G364" s="145"/>
      <c r="H364" s="127"/>
      <c r="I364" s="37"/>
      <c r="J364" s="128"/>
      <c r="K364" s="127"/>
      <c r="L364" s="37"/>
      <c r="M364" s="128"/>
      <c r="N364" s="113"/>
      <c r="O364" s="113"/>
    </row>
    <row r="365" spans="1:15" s="25" customFormat="1" ht="11.25" customHeight="1" x14ac:dyDescent="0.2">
      <c r="A365" s="166"/>
      <c r="B365" s="160"/>
      <c r="C365" s="31"/>
      <c r="D365" s="146" t="s">
        <v>288</v>
      </c>
      <c r="E365" s="32"/>
      <c r="F365" s="147"/>
      <c r="G365" s="33"/>
      <c r="H365" s="129"/>
      <c r="I365" s="29"/>
      <c r="J365" s="130"/>
      <c r="K365" s="129"/>
      <c r="L365" s="29"/>
      <c r="M365" s="130"/>
      <c r="N365" s="115"/>
      <c r="O365" s="115"/>
    </row>
    <row r="366" spans="1:15" s="25" customFormat="1" ht="33.75" x14ac:dyDescent="0.2">
      <c r="A366" s="581" t="s">
        <v>277</v>
      </c>
      <c r="B366" s="582" t="s">
        <v>190</v>
      </c>
      <c r="C366" s="583" t="s">
        <v>654</v>
      </c>
      <c r="D366" s="584" t="s">
        <v>983</v>
      </c>
      <c r="E366" s="583" t="s">
        <v>281</v>
      </c>
      <c r="F366" s="585">
        <v>1</v>
      </c>
      <c r="G366" s="586"/>
      <c r="H366" s="588">
        <f>ROUND(SUM(H367:H377),2)</f>
        <v>2761.03</v>
      </c>
      <c r="I366" s="588">
        <f>ROUND(SUM(I367:I377),2)</f>
        <v>0</v>
      </c>
      <c r="J366" s="589">
        <f>H366+I366</f>
        <v>2761.03</v>
      </c>
      <c r="K366" s="587">
        <f>H366*F366</f>
        <v>2761.03</v>
      </c>
      <c r="L366" s="588">
        <f>I366*F366</f>
        <v>0</v>
      </c>
      <c r="M366" s="589">
        <f>K366+L366</f>
        <v>2761.03</v>
      </c>
      <c r="N366" s="585">
        <f>M366*$N$7</f>
        <v>678.10896800000012</v>
      </c>
      <c r="O366" s="585">
        <f>ROUND(M366+N366,2)</f>
        <v>3439.14</v>
      </c>
    </row>
    <row r="367" spans="1:15" s="25" customFormat="1" ht="14.25" x14ac:dyDescent="0.2">
      <c r="A367" s="146"/>
      <c r="B367" s="146"/>
      <c r="C367" s="146"/>
      <c r="D367" s="153" t="s">
        <v>502</v>
      </c>
      <c r="E367" s="34" t="s">
        <v>281</v>
      </c>
      <c r="F367" s="148">
        <v>2</v>
      </c>
      <c r="G367" s="35">
        <v>34.479999999999997</v>
      </c>
      <c r="H367" s="131">
        <f t="shared" ref="H367:H376" si="2">F367*G367</f>
        <v>68.959999999999994</v>
      </c>
      <c r="I367" s="30"/>
      <c r="J367" s="132"/>
      <c r="K367" s="131"/>
      <c r="L367" s="30"/>
      <c r="M367" s="132"/>
      <c r="N367" s="117"/>
      <c r="O367" s="117"/>
    </row>
    <row r="368" spans="1:15" s="25" customFormat="1" ht="14.25" x14ac:dyDescent="0.2">
      <c r="A368" s="146"/>
      <c r="B368" s="146"/>
      <c r="C368" s="146"/>
      <c r="D368" s="153" t="s">
        <v>503</v>
      </c>
      <c r="E368" s="34" t="s">
        <v>281</v>
      </c>
      <c r="F368" s="148">
        <v>2</v>
      </c>
      <c r="G368" s="35">
        <v>25.37</v>
      </c>
      <c r="H368" s="131">
        <f t="shared" si="2"/>
        <v>50.74</v>
      </c>
      <c r="I368" s="30"/>
      <c r="J368" s="132"/>
      <c r="K368" s="131"/>
      <c r="L368" s="30"/>
      <c r="M368" s="132"/>
      <c r="N368" s="115"/>
      <c r="O368" s="115"/>
    </row>
    <row r="369" spans="1:15" s="25" customFormat="1" ht="14.25" x14ac:dyDescent="0.2">
      <c r="A369" s="146"/>
      <c r="B369" s="146"/>
      <c r="C369" s="146"/>
      <c r="D369" s="153" t="s">
        <v>504</v>
      </c>
      <c r="E369" s="34" t="s">
        <v>281</v>
      </c>
      <c r="F369" s="148">
        <v>1</v>
      </c>
      <c r="G369" s="35">
        <v>52.79</v>
      </c>
      <c r="H369" s="131">
        <f t="shared" si="2"/>
        <v>52.79</v>
      </c>
      <c r="I369" s="30"/>
      <c r="J369" s="132"/>
      <c r="K369" s="131"/>
      <c r="L369" s="30"/>
      <c r="M369" s="132"/>
      <c r="N369" s="115"/>
      <c r="O369" s="115"/>
    </row>
    <row r="370" spans="1:15" s="25" customFormat="1" ht="14.25" x14ac:dyDescent="0.2">
      <c r="A370" s="146"/>
      <c r="B370" s="146"/>
      <c r="C370" s="146"/>
      <c r="D370" s="153" t="s">
        <v>505</v>
      </c>
      <c r="E370" s="34" t="s">
        <v>281</v>
      </c>
      <c r="F370" s="148">
        <v>2</v>
      </c>
      <c r="G370" s="35">
        <v>600</v>
      </c>
      <c r="H370" s="131">
        <f t="shared" si="2"/>
        <v>1200</v>
      </c>
      <c r="I370" s="30"/>
      <c r="J370" s="132"/>
      <c r="K370" s="131"/>
      <c r="L370" s="30"/>
      <c r="M370" s="132"/>
      <c r="N370" s="115"/>
      <c r="O370" s="115"/>
    </row>
    <row r="371" spans="1:15" s="25" customFormat="1" ht="14.25" x14ac:dyDescent="0.2">
      <c r="A371" s="146"/>
      <c r="B371" s="146"/>
      <c r="C371" s="146"/>
      <c r="D371" s="153" t="s">
        <v>506</v>
      </c>
      <c r="E371" s="34" t="s">
        <v>281</v>
      </c>
      <c r="F371" s="148">
        <v>2</v>
      </c>
      <c r="G371" s="35">
        <v>18.34</v>
      </c>
      <c r="H371" s="131">
        <f t="shared" si="2"/>
        <v>36.68</v>
      </c>
      <c r="I371" s="30"/>
      <c r="J371" s="132"/>
      <c r="K371" s="131"/>
      <c r="L371" s="30"/>
      <c r="M371" s="132"/>
      <c r="N371" s="114"/>
      <c r="O371" s="114"/>
    </row>
    <row r="372" spans="1:15" s="25" customFormat="1" ht="14.25" x14ac:dyDescent="0.2">
      <c r="A372" s="146"/>
      <c r="B372" s="146"/>
      <c r="C372" s="146"/>
      <c r="D372" s="153" t="s">
        <v>507</v>
      </c>
      <c r="E372" s="34" t="s">
        <v>281</v>
      </c>
      <c r="F372" s="148">
        <v>2</v>
      </c>
      <c r="G372" s="35">
        <v>27.33</v>
      </c>
      <c r="H372" s="131">
        <f t="shared" si="2"/>
        <v>54.66</v>
      </c>
      <c r="I372" s="30"/>
      <c r="J372" s="132"/>
      <c r="K372" s="131"/>
      <c r="L372" s="30"/>
      <c r="M372" s="132"/>
      <c r="N372" s="114"/>
      <c r="O372" s="114"/>
    </row>
    <row r="373" spans="1:15" s="25" customFormat="1" ht="14.25" x14ac:dyDescent="0.2">
      <c r="A373" s="146"/>
      <c r="B373" s="146"/>
      <c r="C373" s="146"/>
      <c r="D373" s="153" t="s">
        <v>508</v>
      </c>
      <c r="E373" s="34" t="s">
        <v>281</v>
      </c>
      <c r="F373" s="148">
        <v>2</v>
      </c>
      <c r="G373" s="35">
        <v>4.75</v>
      </c>
      <c r="H373" s="131">
        <f t="shared" si="2"/>
        <v>9.5</v>
      </c>
      <c r="I373" s="30"/>
      <c r="J373" s="132"/>
      <c r="K373" s="131"/>
      <c r="L373" s="30"/>
      <c r="M373" s="132"/>
      <c r="N373" s="115"/>
      <c r="O373" s="115"/>
    </row>
    <row r="374" spans="1:15" s="25" customFormat="1" ht="14.25" x14ac:dyDescent="0.2">
      <c r="A374" s="146"/>
      <c r="B374" s="146"/>
      <c r="C374" s="146"/>
      <c r="D374" s="153" t="s">
        <v>509</v>
      </c>
      <c r="E374" s="34" t="s">
        <v>281</v>
      </c>
      <c r="F374" s="148">
        <v>1</v>
      </c>
      <c r="G374" s="35">
        <v>3.67</v>
      </c>
      <c r="H374" s="131">
        <f t="shared" si="2"/>
        <v>3.67</v>
      </c>
      <c r="I374" s="30"/>
      <c r="J374" s="132"/>
      <c r="K374" s="131"/>
      <c r="L374" s="30"/>
      <c r="M374" s="132"/>
      <c r="N374" s="115"/>
      <c r="O374" s="115"/>
    </row>
    <row r="375" spans="1:15" s="25" customFormat="1" ht="14.25" x14ac:dyDescent="0.2">
      <c r="A375" s="146"/>
      <c r="B375" s="146"/>
      <c r="C375" s="146"/>
      <c r="D375" s="153" t="s">
        <v>510</v>
      </c>
      <c r="E375" s="34" t="s">
        <v>281</v>
      </c>
      <c r="F375" s="148">
        <v>1</v>
      </c>
      <c r="G375" s="35">
        <v>21.55</v>
      </c>
      <c r="H375" s="131">
        <f t="shared" si="2"/>
        <v>21.55</v>
      </c>
      <c r="I375" s="30"/>
      <c r="J375" s="132"/>
      <c r="K375" s="131"/>
      <c r="L375" s="30"/>
      <c r="M375" s="132"/>
      <c r="N375" s="115"/>
      <c r="O375" s="115"/>
    </row>
    <row r="376" spans="1:15" s="25" customFormat="1" ht="14.25" x14ac:dyDescent="0.2">
      <c r="A376" s="146"/>
      <c r="B376" s="146"/>
      <c r="C376" s="146"/>
      <c r="D376" s="153" t="s">
        <v>511</v>
      </c>
      <c r="E376" s="34" t="s">
        <v>183</v>
      </c>
      <c r="F376" s="148">
        <v>3.78</v>
      </c>
      <c r="G376" s="35">
        <v>212.25</v>
      </c>
      <c r="H376" s="131">
        <f t="shared" si="2"/>
        <v>802.30499999999995</v>
      </c>
      <c r="I376" s="30"/>
      <c r="J376" s="132"/>
      <c r="K376" s="131"/>
      <c r="L376" s="30"/>
      <c r="M376" s="132"/>
      <c r="N376" s="114"/>
      <c r="O376" s="114"/>
    </row>
    <row r="377" spans="1:15" s="25" customFormat="1" ht="14.25" x14ac:dyDescent="0.2">
      <c r="A377" s="146"/>
      <c r="B377" s="146"/>
      <c r="C377" s="146"/>
      <c r="D377" s="153" t="s">
        <v>512</v>
      </c>
      <c r="E377" s="34" t="s">
        <v>334</v>
      </c>
      <c r="F377" s="148">
        <v>30</v>
      </c>
      <c r="G377" s="35">
        <v>2300.87</v>
      </c>
      <c r="H377" s="131">
        <f>G377*0.2</f>
        <v>460.17399999999998</v>
      </c>
      <c r="I377" s="30"/>
      <c r="J377" s="132"/>
      <c r="K377" s="131"/>
      <c r="L377" s="30"/>
      <c r="M377" s="132"/>
      <c r="N377" s="114"/>
      <c r="O377" s="114"/>
    </row>
    <row r="378" spans="1:15" s="25" customFormat="1" ht="14.25" x14ac:dyDescent="0.2">
      <c r="A378" s="146"/>
      <c r="B378" s="160"/>
      <c r="C378" s="31"/>
      <c r="D378" s="146" t="s">
        <v>288</v>
      </c>
      <c r="E378" s="32"/>
      <c r="F378" s="147"/>
      <c r="G378" s="33"/>
      <c r="H378" s="129"/>
      <c r="I378" s="29"/>
      <c r="J378" s="130"/>
      <c r="K378" s="129"/>
      <c r="L378" s="29"/>
      <c r="M378" s="130"/>
      <c r="N378" s="115"/>
      <c r="O378" s="115"/>
    </row>
    <row r="379" spans="1:15" s="25" customFormat="1" ht="22.5" x14ac:dyDescent="0.2">
      <c r="A379" s="581" t="s">
        <v>278</v>
      </c>
      <c r="B379" s="582">
        <v>27008000022</v>
      </c>
      <c r="C379" s="583" t="s">
        <v>945</v>
      </c>
      <c r="D379" s="584" t="s">
        <v>994</v>
      </c>
      <c r="E379" s="583" t="s">
        <v>227</v>
      </c>
      <c r="F379" s="585">
        <f>'MEMÓRIA DE CÁLCULO'!D163</f>
        <v>1</v>
      </c>
      <c r="G379" s="586"/>
      <c r="H379" s="588">
        <f>ROUND(SUM(H380:H383),2)</f>
        <v>167.7</v>
      </c>
      <c r="I379" s="588">
        <f>ROUND(SUM(I380:I383),2)</f>
        <v>49.76</v>
      </c>
      <c r="J379" s="589">
        <f>H379+I379</f>
        <v>217.45999999999998</v>
      </c>
      <c r="K379" s="587">
        <f>H379*F379</f>
        <v>167.7</v>
      </c>
      <c r="L379" s="588">
        <f>I379*F379</f>
        <v>49.76</v>
      </c>
      <c r="M379" s="589">
        <f>K379+L379</f>
        <v>217.45999999999998</v>
      </c>
      <c r="N379" s="585">
        <f>M379*$N$7</f>
        <v>53.408175999999997</v>
      </c>
      <c r="O379" s="585">
        <f>ROUND(M379+N379,2)</f>
        <v>270.87</v>
      </c>
    </row>
    <row r="380" spans="1:15" s="25" customFormat="1" ht="14.25" x14ac:dyDescent="0.2">
      <c r="A380" s="168"/>
      <c r="B380" s="159"/>
      <c r="C380" s="34"/>
      <c r="D380" s="153" t="s">
        <v>335</v>
      </c>
      <c r="E380" s="34" t="s">
        <v>229</v>
      </c>
      <c r="F380" s="148">
        <v>1.93</v>
      </c>
      <c r="G380" s="35">
        <v>16.86</v>
      </c>
      <c r="H380" s="131"/>
      <c r="I380" s="30">
        <f>F380*G380</f>
        <v>32.5398</v>
      </c>
      <c r="J380" s="132"/>
      <c r="K380" s="131"/>
      <c r="L380" s="30"/>
      <c r="M380" s="132"/>
      <c r="N380" s="117"/>
      <c r="O380" s="117"/>
    </row>
    <row r="381" spans="1:15" s="25" customFormat="1" ht="14.25" x14ac:dyDescent="0.2">
      <c r="A381" s="168"/>
      <c r="B381" s="159"/>
      <c r="C381" s="34"/>
      <c r="D381" s="153" t="s">
        <v>207</v>
      </c>
      <c r="E381" s="34" t="s">
        <v>229</v>
      </c>
      <c r="F381" s="148">
        <v>1.93</v>
      </c>
      <c r="G381" s="35">
        <v>8.92</v>
      </c>
      <c r="H381" s="131"/>
      <c r="I381" s="30">
        <f>F381*G381</f>
        <v>17.215599999999998</v>
      </c>
      <c r="J381" s="132"/>
      <c r="K381" s="131"/>
      <c r="L381" s="30"/>
      <c r="M381" s="132"/>
      <c r="N381" s="115"/>
      <c r="O381" s="115"/>
    </row>
    <row r="382" spans="1:15" s="25" customFormat="1" ht="14.25" x14ac:dyDescent="0.2">
      <c r="A382" s="168"/>
      <c r="B382" s="159"/>
      <c r="C382" s="34"/>
      <c r="D382" s="153" t="s">
        <v>511</v>
      </c>
      <c r="E382" s="34" t="s">
        <v>253</v>
      </c>
      <c r="F382" s="148">
        <f>1.05*0.55</f>
        <v>0.57750000000000012</v>
      </c>
      <c r="G382" s="35">
        <v>212.25</v>
      </c>
      <c r="H382" s="131">
        <v>83.85</v>
      </c>
      <c r="I382" s="30"/>
      <c r="J382" s="132"/>
      <c r="K382" s="131"/>
      <c r="L382" s="30"/>
      <c r="M382" s="132"/>
      <c r="N382" s="115"/>
      <c r="O382" s="115"/>
    </row>
    <row r="383" spans="1:15" s="25" customFormat="1" ht="14.25" x14ac:dyDescent="0.2">
      <c r="A383" s="168"/>
      <c r="B383" s="159"/>
      <c r="C383" s="34">
        <v>20241</v>
      </c>
      <c r="D383" s="153" t="s">
        <v>559</v>
      </c>
      <c r="E383" s="34" t="s">
        <v>135</v>
      </c>
      <c r="F383" s="148">
        <v>1</v>
      </c>
      <c r="G383" s="35">
        <v>83.85</v>
      </c>
      <c r="H383" s="131">
        <v>83.85</v>
      </c>
      <c r="I383" s="30"/>
      <c r="J383" s="132"/>
      <c r="K383" s="131"/>
      <c r="L383" s="30"/>
      <c r="M383" s="132"/>
      <c r="N383" s="115"/>
      <c r="O383" s="115"/>
    </row>
    <row r="384" spans="1:15" s="25" customFormat="1" ht="14.25" x14ac:dyDescent="0.2">
      <c r="A384" s="168"/>
      <c r="B384" s="159"/>
      <c r="C384" s="34"/>
      <c r="D384" s="153"/>
      <c r="E384" s="34"/>
      <c r="F384" s="148"/>
      <c r="G384" s="35"/>
      <c r="H384" s="131"/>
      <c r="I384" s="30"/>
      <c r="J384" s="132"/>
      <c r="K384" s="131"/>
      <c r="L384" s="30"/>
      <c r="M384" s="132"/>
      <c r="N384" s="115"/>
      <c r="O384" s="115"/>
    </row>
    <row r="385" spans="1:15" s="25" customFormat="1" ht="22.5" x14ac:dyDescent="0.2">
      <c r="A385" s="581" t="s">
        <v>278</v>
      </c>
      <c r="B385" s="582">
        <v>27008000022</v>
      </c>
      <c r="C385" s="583" t="s">
        <v>655</v>
      </c>
      <c r="D385" s="584" t="s">
        <v>134</v>
      </c>
      <c r="E385" s="583" t="s">
        <v>227</v>
      </c>
      <c r="F385" s="585">
        <f>'MEMÓRIA DE CÁLCULO'!D162</f>
        <v>6</v>
      </c>
      <c r="G385" s="586"/>
      <c r="H385" s="588">
        <f>ROUND(SUM(H386:H390),2)</f>
        <v>347.62</v>
      </c>
      <c r="I385" s="588">
        <f>ROUND(SUM(I386:I390),2)</f>
        <v>85.07</v>
      </c>
      <c r="J385" s="589">
        <f>H385+I385</f>
        <v>432.69</v>
      </c>
      <c r="K385" s="587">
        <f>H385*F385</f>
        <v>2085.7200000000003</v>
      </c>
      <c r="L385" s="588">
        <f>I385*F385</f>
        <v>510.41999999999996</v>
      </c>
      <c r="M385" s="589">
        <f>K385+L385</f>
        <v>2596.1400000000003</v>
      </c>
      <c r="N385" s="585">
        <f>M385*$N$7</f>
        <v>637.61198400000012</v>
      </c>
      <c r="O385" s="585">
        <f>ROUND(M385+N385,2)</f>
        <v>3233.75</v>
      </c>
    </row>
    <row r="386" spans="1:15" s="25" customFormat="1" ht="14.25" x14ac:dyDescent="0.2">
      <c r="A386" s="168"/>
      <c r="B386" s="159"/>
      <c r="C386" s="34"/>
      <c r="D386" s="153" t="s">
        <v>335</v>
      </c>
      <c r="E386" s="34" t="s">
        <v>229</v>
      </c>
      <c r="F386" s="148">
        <v>3.3</v>
      </c>
      <c r="G386" s="35">
        <v>16.86</v>
      </c>
      <c r="H386" s="131"/>
      <c r="I386" s="30">
        <f>F386*G386</f>
        <v>55.637999999999998</v>
      </c>
      <c r="J386" s="132"/>
      <c r="K386" s="131"/>
      <c r="L386" s="30"/>
      <c r="M386" s="132"/>
      <c r="N386" s="117"/>
      <c r="O386" s="117"/>
    </row>
    <row r="387" spans="1:15" s="25" customFormat="1" ht="14.25" x14ac:dyDescent="0.2">
      <c r="A387" s="168"/>
      <c r="B387" s="159"/>
      <c r="C387" s="34"/>
      <c r="D387" s="153" t="s">
        <v>207</v>
      </c>
      <c r="E387" s="34" t="s">
        <v>229</v>
      </c>
      <c r="F387" s="148">
        <v>3.3</v>
      </c>
      <c r="G387" s="35">
        <v>8.92</v>
      </c>
      <c r="H387" s="131"/>
      <c r="I387" s="30">
        <f>F387*G387</f>
        <v>29.436</v>
      </c>
      <c r="J387" s="132"/>
      <c r="K387" s="131"/>
      <c r="L387" s="30"/>
      <c r="M387" s="132"/>
      <c r="N387" s="115"/>
      <c r="O387" s="115"/>
    </row>
    <row r="388" spans="1:15" s="25" customFormat="1" ht="14.25" x14ac:dyDescent="0.2">
      <c r="A388" s="168"/>
      <c r="B388" s="159"/>
      <c r="C388" s="34"/>
      <c r="D388" s="153" t="s">
        <v>511</v>
      </c>
      <c r="E388" s="34" t="s">
        <v>253</v>
      </c>
      <c r="F388" s="148">
        <f>0.9*0.75*1.05</f>
        <v>0.7087500000000001</v>
      </c>
      <c r="G388" s="35">
        <v>212.25</v>
      </c>
      <c r="H388" s="131">
        <f>F388*G388</f>
        <v>150.43218750000003</v>
      </c>
      <c r="I388" s="30"/>
      <c r="J388" s="132"/>
      <c r="K388" s="131"/>
      <c r="L388" s="30"/>
      <c r="M388" s="132"/>
      <c r="N388" s="115"/>
      <c r="O388" s="115"/>
    </row>
    <row r="389" spans="1:15" s="25" customFormat="1" ht="14.25" x14ac:dyDescent="0.2">
      <c r="A389" s="168"/>
      <c r="B389" s="159"/>
      <c r="C389" s="34">
        <v>20241</v>
      </c>
      <c r="D389" s="153" t="s">
        <v>559</v>
      </c>
      <c r="E389" s="34" t="s">
        <v>135</v>
      </c>
      <c r="F389" s="148">
        <v>1</v>
      </c>
      <c r="G389" s="35">
        <v>83.85</v>
      </c>
      <c r="H389" s="131">
        <f>F389*G389</f>
        <v>83.85</v>
      </c>
      <c r="I389" s="30"/>
      <c r="J389" s="132"/>
      <c r="K389" s="131"/>
      <c r="L389" s="30"/>
      <c r="M389" s="132"/>
      <c r="N389" s="115"/>
      <c r="O389" s="115"/>
    </row>
    <row r="390" spans="1:15" s="25" customFormat="1" ht="16.5" x14ac:dyDescent="0.2">
      <c r="A390" s="168"/>
      <c r="B390" s="159"/>
      <c r="C390" s="458" t="s">
        <v>995</v>
      </c>
      <c r="D390" s="153" t="s">
        <v>560</v>
      </c>
      <c r="E390" s="34" t="s">
        <v>227</v>
      </c>
      <c r="F390" s="148">
        <v>1</v>
      </c>
      <c r="G390" s="35">
        <v>113.34</v>
      </c>
      <c r="H390" s="131">
        <f>F390*G390</f>
        <v>113.34</v>
      </c>
      <c r="I390" s="30"/>
      <c r="J390" s="132"/>
      <c r="K390" s="131"/>
      <c r="L390" s="30"/>
      <c r="M390" s="132"/>
      <c r="N390" s="115"/>
      <c r="O390" s="115"/>
    </row>
    <row r="391" spans="1:15" s="25" customFormat="1" ht="14.25" x14ac:dyDescent="0.2">
      <c r="A391" s="168"/>
      <c r="B391" s="159"/>
      <c r="C391" s="34"/>
      <c r="D391" s="153"/>
      <c r="E391" s="34"/>
      <c r="F391" s="148"/>
      <c r="G391" s="35"/>
      <c r="H391" s="131"/>
      <c r="I391" s="30"/>
      <c r="J391" s="132"/>
      <c r="K391" s="131"/>
      <c r="L391" s="30"/>
      <c r="M391" s="132"/>
      <c r="N391" s="115"/>
      <c r="O391" s="115"/>
    </row>
    <row r="392" spans="1:15" s="25" customFormat="1" ht="22.5" x14ac:dyDescent="0.2">
      <c r="A392" s="581" t="s">
        <v>278</v>
      </c>
      <c r="B392" s="582">
        <v>27008000022</v>
      </c>
      <c r="C392" s="583" t="s">
        <v>656</v>
      </c>
      <c r="D392" s="584" t="s">
        <v>759</v>
      </c>
      <c r="E392" s="583" t="s">
        <v>227</v>
      </c>
      <c r="F392" s="585">
        <f>'MEMÓRIA DE CÁLCULO'!D164</f>
        <v>3</v>
      </c>
      <c r="G392" s="586"/>
      <c r="H392" s="588">
        <f>ROUND(SUM(H393:H396),2)</f>
        <v>413.96</v>
      </c>
      <c r="I392" s="588">
        <f>ROUND(SUM(I393:I396),2)</f>
        <v>99.7</v>
      </c>
      <c r="J392" s="589">
        <f>H392+I392</f>
        <v>513.66</v>
      </c>
      <c r="K392" s="587">
        <f>H392*F392</f>
        <v>1241.8799999999999</v>
      </c>
      <c r="L392" s="588">
        <f>I392*F392</f>
        <v>299.10000000000002</v>
      </c>
      <c r="M392" s="589">
        <f>K392+L392</f>
        <v>1540.98</v>
      </c>
      <c r="N392" s="585">
        <f>M392*$N$7</f>
        <v>378.46468800000002</v>
      </c>
      <c r="O392" s="585">
        <f>ROUND(M392+N392,2)</f>
        <v>1919.44</v>
      </c>
    </row>
    <row r="393" spans="1:15" s="25" customFormat="1" ht="14.25" x14ac:dyDescent="0.2">
      <c r="A393" s="168"/>
      <c r="B393" s="159"/>
      <c r="C393" s="34"/>
      <c r="D393" s="153" t="s">
        <v>335</v>
      </c>
      <c r="E393" s="34" t="s">
        <v>229</v>
      </c>
      <c r="F393" s="148">
        <f>1.3*0.85*3.5</f>
        <v>3.8674999999999997</v>
      </c>
      <c r="G393" s="35">
        <v>16.86</v>
      </c>
      <c r="H393" s="131"/>
      <c r="I393" s="30">
        <f>F393*G393</f>
        <v>65.206049999999991</v>
      </c>
      <c r="J393" s="132"/>
      <c r="K393" s="131"/>
      <c r="L393" s="30"/>
      <c r="M393" s="132"/>
      <c r="N393" s="117"/>
      <c r="O393" s="117"/>
    </row>
    <row r="394" spans="1:15" s="25" customFormat="1" ht="14.25" x14ac:dyDescent="0.2">
      <c r="A394" s="168"/>
      <c r="B394" s="159"/>
      <c r="C394" s="34"/>
      <c r="D394" s="153" t="s">
        <v>207</v>
      </c>
      <c r="E394" s="34" t="s">
        <v>229</v>
      </c>
      <c r="F394" s="148">
        <f>1.3*0.85*3.5</f>
        <v>3.8674999999999997</v>
      </c>
      <c r="G394" s="35">
        <v>8.92</v>
      </c>
      <c r="H394" s="131"/>
      <c r="I394" s="30">
        <f>F394*G394</f>
        <v>34.498099999999994</v>
      </c>
      <c r="J394" s="132"/>
      <c r="K394" s="131"/>
      <c r="L394" s="30"/>
      <c r="M394" s="132"/>
      <c r="N394" s="115"/>
      <c r="O394" s="115"/>
    </row>
    <row r="395" spans="1:15" s="25" customFormat="1" ht="14.25" x14ac:dyDescent="0.2">
      <c r="A395" s="168"/>
      <c r="B395" s="159"/>
      <c r="C395" s="34"/>
      <c r="D395" s="153" t="s">
        <v>511</v>
      </c>
      <c r="E395" s="34" t="s">
        <v>253</v>
      </c>
      <c r="F395" s="148">
        <f>1.3*0.85*1.05</f>
        <v>1.16025</v>
      </c>
      <c r="G395" s="35">
        <v>212.25</v>
      </c>
      <c r="H395" s="131">
        <f>F395*G395</f>
        <v>246.26306249999999</v>
      </c>
      <c r="I395" s="30"/>
      <c r="J395" s="132"/>
      <c r="K395" s="131"/>
      <c r="L395" s="30"/>
      <c r="M395" s="132"/>
      <c r="N395" s="115"/>
      <c r="O395" s="115"/>
    </row>
    <row r="396" spans="1:15" s="25" customFormat="1" ht="14.25" x14ac:dyDescent="0.2">
      <c r="A396" s="168"/>
      <c r="B396" s="159"/>
      <c r="C396" s="34">
        <v>20241</v>
      </c>
      <c r="D396" s="153" t="s">
        <v>559</v>
      </c>
      <c r="E396" s="34" t="s">
        <v>135</v>
      </c>
      <c r="F396" s="148">
        <v>2</v>
      </c>
      <c r="G396" s="35">
        <v>83.85</v>
      </c>
      <c r="H396" s="131">
        <f>F396*G396</f>
        <v>167.7</v>
      </c>
      <c r="I396" s="30"/>
      <c r="J396" s="132"/>
      <c r="K396" s="131"/>
      <c r="L396" s="30"/>
      <c r="M396" s="132"/>
      <c r="N396" s="115"/>
      <c r="O396" s="115"/>
    </row>
    <row r="397" spans="1:15" s="25" customFormat="1" ht="14.25" x14ac:dyDescent="0.2">
      <c r="A397" s="168"/>
      <c r="B397" s="159"/>
      <c r="C397" s="34"/>
      <c r="D397" s="153"/>
      <c r="E397" s="34"/>
      <c r="F397" s="148"/>
      <c r="G397" s="35"/>
      <c r="H397" s="131"/>
      <c r="I397" s="30"/>
      <c r="J397" s="132"/>
      <c r="K397" s="131"/>
      <c r="L397" s="30"/>
      <c r="M397" s="132"/>
      <c r="N397" s="115"/>
      <c r="O397" s="115"/>
    </row>
    <row r="398" spans="1:15" s="25" customFormat="1" ht="22.5" x14ac:dyDescent="0.2">
      <c r="A398" s="581" t="s">
        <v>278</v>
      </c>
      <c r="B398" s="582">
        <v>27008000022</v>
      </c>
      <c r="C398" s="583" t="s">
        <v>657</v>
      </c>
      <c r="D398" s="584" t="s">
        <v>877</v>
      </c>
      <c r="E398" s="583" t="s">
        <v>227</v>
      </c>
      <c r="F398" s="585">
        <f>'MEMÓRIA DE CÁLCULO'!D165+'MEMÓRIA DE CÁLCULO'!D166</f>
        <v>2</v>
      </c>
      <c r="G398" s="586"/>
      <c r="H398" s="588">
        <f>ROUND(SUM(H399:H402),2)</f>
        <v>1157.21</v>
      </c>
      <c r="I398" s="588">
        <f>ROUND(SUM(I399:I402),2)</f>
        <v>400.62</v>
      </c>
      <c r="J398" s="589">
        <f>H398+I398</f>
        <v>1557.83</v>
      </c>
      <c r="K398" s="587">
        <f>H398*F398</f>
        <v>2314.42</v>
      </c>
      <c r="L398" s="588">
        <f>I398*F398</f>
        <v>801.24</v>
      </c>
      <c r="M398" s="589">
        <f>K398+L398</f>
        <v>3115.66</v>
      </c>
      <c r="N398" s="585">
        <f>M398*$N$7</f>
        <v>765.206096</v>
      </c>
      <c r="O398" s="585">
        <f>ROUND(M398+N398,2)</f>
        <v>3880.87</v>
      </c>
    </row>
    <row r="399" spans="1:15" s="25" customFormat="1" ht="14.25" x14ac:dyDescent="0.2">
      <c r="A399" s="168"/>
      <c r="B399" s="159"/>
      <c r="C399" s="34"/>
      <c r="D399" s="153" t="s">
        <v>335</v>
      </c>
      <c r="E399" s="34" t="s">
        <v>229</v>
      </c>
      <c r="F399" s="148">
        <f>2.4*1.85*3.5</f>
        <v>15.540000000000001</v>
      </c>
      <c r="G399" s="35">
        <v>16.86</v>
      </c>
      <c r="H399" s="131"/>
      <c r="I399" s="30">
        <f>F399*G399</f>
        <v>262.00440000000003</v>
      </c>
      <c r="J399" s="132"/>
      <c r="K399" s="131"/>
      <c r="L399" s="30"/>
      <c r="M399" s="132"/>
      <c r="N399" s="117"/>
      <c r="O399" s="117"/>
    </row>
    <row r="400" spans="1:15" s="25" customFormat="1" ht="14.25" x14ac:dyDescent="0.2">
      <c r="A400" s="168"/>
      <c r="B400" s="159"/>
      <c r="C400" s="34"/>
      <c r="D400" s="153" t="s">
        <v>207</v>
      </c>
      <c r="E400" s="34" t="s">
        <v>229</v>
      </c>
      <c r="F400" s="148">
        <f>2.4*1.85*3.5</f>
        <v>15.540000000000001</v>
      </c>
      <c r="G400" s="35">
        <v>8.92</v>
      </c>
      <c r="H400" s="131"/>
      <c r="I400" s="30">
        <f>F400*G400</f>
        <v>138.61680000000001</v>
      </c>
      <c r="J400" s="132"/>
      <c r="K400" s="131"/>
      <c r="L400" s="30"/>
      <c r="M400" s="132"/>
      <c r="N400" s="115"/>
      <c r="O400" s="115"/>
    </row>
    <row r="401" spans="1:15" s="25" customFormat="1" ht="14.25" x14ac:dyDescent="0.2">
      <c r="A401" s="168"/>
      <c r="B401" s="159"/>
      <c r="C401" s="34"/>
      <c r="D401" s="153" t="s">
        <v>511</v>
      </c>
      <c r="E401" s="34" t="s">
        <v>253</v>
      </c>
      <c r="F401" s="148">
        <f>2.4*1.85*1.05</f>
        <v>4.6620000000000008</v>
      </c>
      <c r="G401" s="35">
        <v>212.25</v>
      </c>
      <c r="H401" s="131">
        <f>F401*G401</f>
        <v>989.50950000000012</v>
      </c>
      <c r="I401" s="30"/>
      <c r="J401" s="132"/>
      <c r="K401" s="131"/>
      <c r="L401" s="30"/>
      <c r="M401" s="132"/>
      <c r="N401" s="115"/>
      <c r="O401" s="115"/>
    </row>
    <row r="402" spans="1:15" s="25" customFormat="1" ht="14.25" x14ac:dyDescent="0.2">
      <c r="A402" s="168"/>
      <c r="B402" s="159"/>
      <c r="C402" s="34">
        <v>20241</v>
      </c>
      <c r="D402" s="153" t="s">
        <v>559</v>
      </c>
      <c r="E402" s="34" t="s">
        <v>135</v>
      </c>
      <c r="F402" s="148">
        <v>2</v>
      </c>
      <c r="G402" s="35">
        <v>83.85</v>
      </c>
      <c r="H402" s="131">
        <f>F402*G402</f>
        <v>167.7</v>
      </c>
      <c r="I402" s="30"/>
      <c r="J402" s="132"/>
      <c r="K402" s="131"/>
      <c r="L402" s="30"/>
      <c r="M402" s="132"/>
      <c r="N402" s="115"/>
      <c r="O402" s="115"/>
    </row>
    <row r="403" spans="1:15" s="25" customFormat="1" ht="14.25" x14ac:dyDescent="0.2">
      <c r="A403" s="168"/>
      <c r="B403" s="159"/>
      <c r="C403" s="34"/>
      <c r="D403" s="153"/>
      <c r="E403" s="34"/>
      <c r="F403" s="148"/>
      <c r="G403" s="35"/>
      <c r="H403" s="131"/>
      <c r="I403" s="30"/>
      <c r="J403" s="132"/>
      <c r="K403" s="131"/>
      <c r="L403" s="30"/>
      <c r="M403" s="132"/>
      <c r="N403" s="115"/>
      <c r="O403" s="115"/>
    </row>
    <row r="404" spans="1:15" s="25" customFormat="1" ht="22.5" x14ac:dyDescent="0.2">
      <c r="A404" s="581" t="s">
        <v>278</v>
      </c>
      <c r="B404" s="582">
        <v>27008000022</v>
      </c>
      <c r="C404" s="583" t="s">
        <v>658</v>
      </c>
      <c r="D404" s="584" t="s">
        <v>755</v>
      </c>
      <c r="E404" s="583" t="s">
        <v>227</v>
      </c>
      <c r="F404" s="585">
        <f>'MEMÓRIA DE CÁLCULO'!D167</f>
        <v>1</v>
      </c>
      <c r="G404" s="586"/>
      <c r="H404" s="588">
        <f>ROUND(SUM(H405:H408),2)</f>
        <v>649.08000000000004</v>
      </c>
      <c r="I404" s="588">
        <f>ROUND(SUM(I405:I408),2)</f>
        <v>194.9</v>
      </c>
      <c r="J404" s="589">
        <f>H404+I404</f>
        <v>843.98</v>
      </c>
      <c r="K404" s="587">
        <f>H404*F404</f>
        <v>649.08000000000004</v>
      </c>
      <c r="L404" s="588">
        <f>I404*F404</f>
        <v>194.9</v>
      </c>
      <c r="M404" s="589">
        <f>K404+L404</f>
        <v>843.98</v>
      </c>
      <c r="N404" s="585">
        <f>M404*$N$7</f>
        <v>207.28148800000002</v>
      </c>
      <c r="O404" s="585">
        <f>ROUND(M404+N404,2)</f>
        <v>1051.26</v>
      </c>
    </row>
    <row r="405" spans="1:15" s="25" customFormat="1" ht="14.25" x14ac:dyDescent="0.2">
      <c r="A405" s="168"/>
      <c r="B405" s="159"/>
      <c r="C405" s="34"/>
      <c r="D405" s="153" t="s">
        <v>335</v>
      </c>
      <c r="E405" s="34" t="s">
        <v>229</v>
      </c>
      <c r="F405" s="148">
        <f>1.8*1.2*3.5</f>
        <v>7.5600000000000005</v>
      </c>
      <c r="G405" s="35">
        <v>16.86</v>
      </c>
      <c r="H405" s="131"/>
      <c r="I405" s="30">
        <f>F405*G405</f>
        <v>127.4616</v>
      </c>
      <c r="J405" s="132"/>
      <c r="K405" s="131"/>
      <c r="L405" s="30"/>
      <c r="M405" s="132"/>
      <c r="N405" s="117"/>
      <c r="O405" s="117"/>
    </row>
    <row r="406" spans="1:15" s="25" customFormat="1" ht="14.25" x14ac:dyDescent="0.2">
      <c r="A406" s="168"/>
      <c r="B406" s="159"/>
      <c r="C406" s="34"/>
      <c r="D406" s="153" t="s">
        <v>207</v>
      </c>
      <c r="E406" s="34" t="s">
        <v>229</v>
      </c>
      <c r="F406" s="148">
        <f>1.8*1.2*3.5</f>
        <v>7.5600000000000005</v>
      </c>
      <c r="G406" s="35">
        <v>8.92</v>
      </c>
      <c r="H406" s="131"/>
      <c r="I406" s="30">
        <f>F406*G406</f>
        <v>67.435200000000009</v>
      </c>
      <c r="J406" s="132"/>
      <c r="K406" s="131"/>
      <c r="L406" s="30"/>
      <c r="M406" s="132"/>
      <c r="N406" s="115"/>
      <c r="O406" s="115"/>
    </row>
    <row r="407" spans="1:15" s="25" customFormat="1" ht="14.25" x14ac:dyDescent="0.2">
      <c r="A407" s="168"/>
      <c r="B407" s="159"/>
      <c r="C407" s="34"/>
      <c r="D407" s="153" t="s">
        <v>511</v>
      </c>
      <c r="E407" s="34" t="s">
        <v>253</v>
      </c>
      <c r="F407" s="148">
        <f>1.8*1.2*1.05</f>
        <v>2.2680000000000002</v>
      </c>
      <c r="G407" s="35">
        <v>212.25</v>
      </c>
      <c r="H407" s="131">
        <f>F407*G407</f>
        <v>481.38300000000004</v>
      </c>
      <c r="I407" s="30"/>
      <c r="J407" s="132"/>
      <c r="K407" s="131"/>
      <c r="L407" s="30"/>
      <c r="M407" s="132"/>
      <c r="N407" s="115"/>
      <c r="O407" s="115"/>
    </row>
    <row r="408" spans="1:15" s="25" customFormat="1" ht="14.25" x14ac:dyDescent="0.2">
      <c r="A408" s="168"/>
      <c r="B408" s="159"/>
      <c r="C408" s="34">
        <v>20241</v>
      </c>
      <c r="D408" s="153" t="s">
        <v>559</v>
      </c>
      <c r="E408" s="34" t="s">
        <v>135</v>
      </c>
      <c r="F408" s="148">
        <v>2</v>
      </c>
      <c r="G408" s="35">
        <v>83.85</v>
      </c>
      <c r="H408" s="131">
        <f>F408*G408</f>
        <v>167.7</v>
      </c>
      <c r="I408" s="30"/>
      <c r="J408" s="132"/>
      <c r="K408" s="131"/>
      <c r="L408" s="30"/>
      <c r="M408" s="132"/>
      <c r="N408" s="115"/>
      <c r="O408" s="115"/>
    </row>
    <row r="409" spans="1:15" s="25" customFormat="1" ht="14.25" x14ac:dyDescent="0.2">
      <c r="A409" s="168"/>
      <c r="B409" s="159"/>
      <c r="C409" s="34"/>
      <c r="D409" s="153"/>
      <c r="E409" s="34"/>
      <c r="F409" s="148"/>
      <c r="G409" s="35"/>
      <c r="H409" s="131"/>
      <c r="I409" s="30"/>
      <c r="J409" s="132"/>
      <c r="K409" s="131"/>
      <c r="L409" s="30"/>
      <c r="M409" s="132"/>
      <c r="N409" s="115"/>
      <c r="O409" s="115"/>
    </row>
    <row r="410" spans="1:15" s="25" customFormat="1" ht="14.25" x14ac:dyDescent="0.2">
      <c r="A410" s="167"/>
      <c r="B410" s="149"/>
      <c r="C410" s="152"/>
      <c r="D410" s="154" t="s">
        <v>295</v>
      </c>
      <c r="E410" s="152"/>
      <c r="F410" s="113"/>
      <c r="G410" s="145"/>
      <c r="H410" s="127"/>
      <c r="I410" s="37"/>
      <c r="J410" s="128"/>
      <c r="K410" s="127"/>
      <c r="L410" s="37"/>
      <c r="M410" s="128"/>
      <c r="N410" s="113"/>
      <c r="O410" s="113"/>
    </row>
    <row r="411" spans="1:15" s="25" customFormat="1" ht="14.25" x14ac:dyDescent="0.2">
      <c r="A411" s="166"/>
      <c r="B411" s="160"/>
      <c r="C411" s="31"/>
      <c r="D411" s="146" t="s">
        <v>288</v>
      </c>
      <c r="E411" s="32"/>
      <c r="F411" s="147"/>
      <c r="G411" s="33"/>
      <c r="H411" s="129"/>
      <c r="I411" s="29"/>
      <c r="J411" s="130"/>
      <c r="K411" s="129"/>
      <c r="L411" s="29"/>
      <c r="M411" s="130"/>
      <c r="N411" s="117"/>
      <c r="O411" s="117"/>
    </row>
    <row r="412" spans="1:15" s="25" customFormat="1" ht="33.75" x14ac:dyDescent="0.2">
      <c r="A412" s="581" t="s">
        <v>277</v>
      </c>
      <c r="B412" s="582" t="s">
        <v>1826</v>
      </c>
      <c r="C412" s="583" t="s">
        <v>659</v>
      </c>
      <c r="D412" s="584" t="s">
        <v>112</v>
      </c>
      <c r="E412" s="583" t="s">
        <v>281</v>
      </c>
      <c r="F412" s="585">
        <f>'MEMÓRIA DE CÁLCULO'!D159</f>
        <v>4</v>
      </c>
      <c r="G412" s="586"/>
      <c r="H412" s="587">
        <v>390.66</v>
      </c>
      <c r="I412" s="588">
        <v>52.69</v>
      </c>
      <c r="J412" s="589">
        <f>H412+I412</f>
        <v>443.35</v>
      </c>
      <c r="K412" s="587">
        <f>H412*F412</f>
        <v>1562.64</v>
      </c>
      <c r="L412" s="588">
        <f>I412*F412</f>
        <v>210.76</v>
      </c>
      <c r="M412" s="589">
        <f>K412+L412</f>
        <v>1773.4</v>
      </c>
      <c r="N412" s="585">
        <f>M412*$N$7</f>
        <v>435.54704000000004</v>
      </c>
      <c r="O412" s="585">
        <f>ROUND(M412+N412,2)</f>
        <v>2208.9499999999998</v>
      </c>
    </row>
    <row r="413" spans="1:15" s="25" customFormat="1" ht="14.25" x14ac:dyDescent="0.2">
      <c r="A413" s="166"/>
      <c r="B413" s="160"/>
      <c r="C413" s="31"/>
      <c r="D413" s="146" t="s">
        <v>288</v>
      </c>
      <c r="E413" s="32"/>
      <c r="F413" s="147"/>
      <c r="G413" s="33"/>
      <c r="H413" s="129"/>
      <c r="I413" s="29"/>
      <c r="J413" s="130"/>
      <c r="K413" s="129"/>
      <c r="L413" s="29"/>
      <c r="M413" s="130"/>
      <c r="N413" s="115"/>
      <c r="O413" s="115"/>
    </row>
    <row r="414" spans="1:15" s="25" customFormat="1" ht="22.5" x14ac:dyDescent="0.2">
      <c r="A414" s="581" t="s">
        <v>277</v>
      </c>
      <c r="B414" s="582" t="s">
        <v>109</v>
      </c>
      <c r="C414" s="583" t="s">
        <v>660</v>
      </c>
      <c r="D414" s="584" t="s">
        <v>110</v>
      </c>
      <c r="E414" s="583" t="s">
        <v>281</v>
      </c>
      <c r="F414" s="585">
        <f>'MEMÓRIA DE CÁLCULO'!D160</f>
        <v>1</v>
      </c>
      <c r="G414" s="586"/>
      <c r="H414" s="587">
        <v>845.85</v>
      </c>
      <c r="I414" s="588">
        <v>52.69</v>
      </c>
      <c r="J414" s="589">
        <f>H414+I414</f>
        <v>898.54</v>
      </c>
      <c r="K414" s="587">
        <f>H414*F414</f>
        <v>845.85</v>
      </c>
      <c r="L414" s="588">
        <f>I414*F414</f>
        <v>52.69</v>
      </c>
      <c r="M414" s="589">
        <f>K414+L414</f>
        <v>898.54</v>
      </c>
      <c r="N414" s="585">
        <f>M414*$N$7</f>
        <v>220.68142399999999</v>
      </c>
      <c r="O414" s="585">
        <f>ROUND(M414+N414,2)</f>
        <v>1119.22</v>
      </c>
    </row>
    <row r="415" spans="1:15" s="25" customFormat="1" ht="14.25" x14ac:dyDescent="0.2">
      <c r="A415" s="166"/>
      <c r="B415" s="160"/>
      <c r="C415" s="31"/>
      <c r="D415" s="146" t="s">
        <v>288</v>
      </c>
      <c r="E415" s="32"/>
      <c r="F415" s="147"/>
      <c r="G415" s="33"/>
      <c r="H415" s="129"/>
      <c r="I415" s="29"/>
      <c r="J415" s="130"/>
      <c r="K415" s="129"/>
      <c r="L415" s="29"/>
      <c r="M415" s="130"/>
      <c r="N415" s="115"/>
      <c r="O415" s="115"/>
    </row>
    <row r="416" spans="1:15" s="25" customFormat="1" ht="45" x14ac:dyDescent="0.2">
      <c r="A416" s="581" t="s">
        <v>277</v>
      </c>
      <c r="B416" s="582" t="s">
        <v>1002</v>
      </c>
      <c r="C416" s="583" t="s">
        <v>661</v>
      </c>
      <c r="D416" s="584" t="s">
        <v>1001</v>
      </c>
      <c r="E416" s="583" t="s">
        <v>253</v>
      </c>
      <c r="F416" s="585">
        <v>11.51</v>
      </c>
      <c r="G416" s="586"/>
      <c r="H416" s="587">
        <v>225.71</v>
      </c>
      <c r="I416" s="588">
        <v>28.65</v>
      </c>
      <c r="J416" s="589">
        <f>H416+I416</f>
        <v>254.36</v>
      </c>
      <c r="K416" s="587">
        <f>H416*F416</f>
        <v>2597.9221000000002</v>
      </c>
      <c r="L416" s="588">
        <f>I416*F416</f>
        <v>329.76149999999996</v>
      </c>
      <c r="M416" s="589">
        <f>K416+L416</f>
        <v>2927.6836000000003</v>
      </c>
      <c r="N416" s="585">
        <f>M416*$N$7</f>
        <v>719.03909216000011</v>
      </c>
      <c r="O416" s="585">
        <f>ROUND(M416+N416,2)</f>
        <v>3646.72</v>
      </c>
    </row>
    <row r="417" spans="1:15" s="25" customFormat="1" ht="14.25" x14ac:dyDescent="0.2">
      <c r="A417" s="166"/>
      <c r="B417" s="160"/>
      <c r="C417" s="31"/>
      <c r="D417" s="146" t="s">
        <v>288</v>
      </c>
      <c r="E417" s="32"/>
      <c r="F417" s="147"/>
      <c r="G417" s="33"/>
      <c r="H417" s="129"/>
      <c r="I417" s="29"/>
      <c r="J417" s="130"/>
      <c r="K417" s="129"/>
      <c r="L417" s="29"/>
      <c r="M417" s="130"/>
      <c r="N417" s="115"/>
      <c r="O417" s="115"/>
    </row>
    <row r="418" spans="1:15" s="25" customFormat="1" ht="22.5" x14ac:dyDescent="0.2">
      <c r="A418" s="581" t="s">
        <v>278</v>
      </c>
      <c r="B418" s="582" t="s">
        <v>886</v>
      </c>
      <c r="C418" s="583" t="s">
        <v>662</v>
      </c>
      <c r="D418" s="584" t="s">
        <v>887</v>
      </c>
      <c r="E418" s="583" t="s">
        <v>338</v>
      </c>
      <c r="F418" s="585">
        <v>3</v>
      </c>
      <c r="G418" s="586"/>
      <c r="H418" s="588">
        <f>ROUND(SUM(H419:H421),2)</f>
        <v>38.33</v>
      </c>
      <c r="I418" s="588">
        <f>ROUND(SUM(I419:I421),2)</f>
        <v>27.37</v>
      </c>
      <c r="J418" s="589">
        <f>H418+I418</f>
        <v>65.7</v>
      </c>
      <c r="K418" s="587">
        <f>H418*F418</f>
        <v>114.99</v>
      </c>
      <c r="L418" s="588">
        <f>I418*F418</f>
        <v>82.11</v>
      </c>
      <c r="M418" s="589">
        <f>K418+L418</f>
        <v>197.1</v>
      </c>
      <c r="N418" s="585">
        <f>M418*$N$7</f>
        <v>48.407760000000003</v>
      </c>
      <c r="O418" s="585">
        <f>ROUND(M418+N418,2)</f>
        <v>245.51</v>
      </c>
    </row>
    <row r="419" spans="1:15" s="25" customFormat="1" ht="14.25" x14ac:dyDescent="0.2">
      <c r="A419" s="168"/>
      <c r="B419" s="159"/>
      <c r="C419" s="34"/>
      <c r="D419" s="153" t="s">
        <v>335</v>
      </c>
      <c r="E419" s="34" t="s">
        <v>229</v>
      </c>
      <c r="F419" s="148">
        <v>1.2</v>
      </c>
      <c r="G419" s="35">
        <v>16.86</v>
      </c>
      <c r="H419" s="131"/>
      <c r="I419" s="30">
        <f>F419*G419</f>
        <v>20.231999999999999</v>
      </c>
      <c r="J419" s="132"/>
      <c r="K419" s="131"/>
      <c r="L419" s="30"/>
      <c r="M419" s="132"/>
      <c r="N419" s="117"/>
      <c r="O419" s="117"/>
    </row>
    <row r="420" spans="1:15" s="25" customFormat="1" ht="14.25" x14ac:dyDescent="0.2">
      <c r="A420" s="168"/>
      <c r="B420" s="159"/>
      <c r="C420" s="34"/>
      <c r="D420" s="153" t="s">
        <v>207</v>
      </c>
      <c r="E420" s="34" t="s">
        <v>229</v>
      </c>
      <c r="F420" s="148">
        <v>0.8</v>
      </c>
      <c r="G420" s="35">
        <v>8.92</v>
      </c>
      <c r="H420" s="131"/>
      <c r="I420" s="30">
        <f>F420*G420</f>
        <v>7.1360000000000001</v>
      </c>
      <c r="J420" s="132"/>
      <c r="K420" s="131"/>
      <c r="L420" s="30"/>
      <c r="M420" s="132"/>
      <c r="N420" s="115"/>
      <c r="O420" s="115"/>
    </row>
    <row r="421" spans="1:15" s="25" customFormat="1" ht="22.5" x14ac:dyDescent="0.2">
      <c r="A421" s="168"/>
      <c r="B421" s="159" t="s">
        <v>203</v>
      </c>
      <c r="C421" s="34"/>
      <c r="D421" s="153" t="str">
        <f>D418</f>
        <v>Tubo em alumínio quadrado - acabamentos entre a parede de gesso acartonado e a esquadria de vidro - gabinete do juíz (frente) - conforme detalhe</v>
      </c>
      <c r="E421" s="34" t="s">
        <v>338</v>
      </c>
      <c r="F421" s="148">
        <v>1</v>
      </c>
      <c r="G421" s="35">
        <v>38.33</v>
      </c>
      <c r="H421" s="131">
        <f>F421*G421</f>
        <v>38.33</v>
      </c>
      <c r="I421" s="30"/>
      <c r="J421" s="132"/>
      <c r="K421" s="131"/>
      <c r="L421" s="30"/>
      <c r="M421" s="132"/>
      <c r="N421" s="115"/>
      <c r="O421" s="115"/>
    </row>
    <row r="422" spans="1:15" s="25" customFormat="1" ht="14.25" x14ac:dyDescent="0.2">
      <c r="A422" s="168"/>
      <c r="B422" s="159"/>
      <c r="C422" s="34"/>
      <c r="D422" s="153"/>
      <c r="E422" s="34"/>
      <c r="F422" s="148"/>
      <c r="G422" s="35"/>
      <c r="H422" s="131"/>
      <c r="I422" s="30"/>
      <c r="J422" s="132"/>
      <c r="K422" s="131"/>
      <c r="L422" s="30"/>
      <c r="M422" s="132"/>
      <c r="N422" s="115"/>
      <c r="O422" s="115"/>
    </row>
    <row r="423" spans="1:15" s="356" customFormat="1" ht="11.25" x14ac:dyDescent="0.2">
      <c r="A423" s="413"/>
      <c r="B423" s="414"/>
      <c r="C423" s="415"/>
      <c r="D423" s="416" t="s">
        <v>437</v>
      </c>
      <c r="E423" s="417"/>
      <c r="F423" s="418"/>
      <c r="G423" s="419"/>
      <c r="H423" s="420"/>
      <c r="I423" s="421"/>
      <c r="J423" s="422"/>
      <c r="K423" s="420"/>
      <c r="L423" s="421"/>
      <c r="M423" s="422"/>
      <c r="N423" s="423"/>
      <c r="O423" s="423"/>
    </row>
    <row r="424" spans="1:15" s="25" customFormat="1" ht="14.25" x14ac:dyDescent="0.2">
      <c r="A424" s="166"/>
      <c r="B424" s="160"/>
      <c r="C424" s="31"/>
      <c r="D424" s="146" t="s">
        <v>288</v>
      </c>
      <c r="E424" s="32"/>
      <c r="F424" s="147"/>
      <c r="G424" s="33"/>
      <c r="H424" s="129"/>
      <c r="I424" s="29"/>
      <c r="J424" s="130"/>
      <c r="K424" s="129"/>
      <c r="L424" s="29"/>
      <c r="M424" s="130"/>
      <c r="N424" s="115"/>
      <c r="O424" s="115"/>
    </row>
    <row r="425" spans="1:15" s="25" customFormat="1" ht="14.25" x14ac:dyDescent="0.2">
      <c r="A425" s="167"/>
      <c r="B425" s="149"/>
      <c r="C425" s="152"/>
      <c r="D425" s="154" t="s">
        <v>322</v>
      </c>
      <c r="E425" s="152"/>
      <c r="F425" s="113"/>
      <c r="G425" s="145"/>
      <c r="H425" s="127"/>
      <c r="I425" s="37"/>
      <c r="J425" s="128"/>
      <c r="K425" s="127"/>
      <c r="L425" s="37"/>
      <c r="M425" s="128"/>
      <c r="N425" s="113"/>
      <c r="O425" s="113"/>
    </row>
    <row r="426" spans="1:15" s="25" customFormat="1" ht="14.25" x14ac:dyDescent="0.2">
      <c r="A426" s="166"/>
      <c r="B426" s="160"/>
      <c r="C426" s="31"/>
      <c r="D426" s="146" t="s">
        <v>288</v>
      </c>
      <c r="E426" s="32"/>
      <c r="F426" s="147"/>
      <c r="G426" s="33"/>
      <c r="H426" s="129"/>
      <c r="I426" s="29"/>
      <c r="J426" s="130"/>
      <c r="K426" s="129"/>
      <c r="L426" s="29"/>
      <c r="M426" s="130"/>
      <c r="N426" s="115"/>
      <c r="O426" s="115"/>
    </row>
    <row r="427" spans="1:15" s="25" customFormat="1" ht="101.25" x14ac:dyDescent="0.2">
      <c r="A427" s="581" t="s">
        <v>203</v>
      </c>
      <c r="B427" s="582"/>
      <c r="C427" s="583" t="s">
        <v>663</v>
      </c>
      <c r="D427" s="584" t="s">
        <v>0</v>
      </c>
      <c r="E427" s="583" t="s">
        <v>281</v>
      </c>
      <c r="F427" s="585">
        <f>'MEMÓRIA DE CÁLCULO'!D175</f>
        <v>4</v>
      </c>
      <c r="G427" s="586"/>
      <c r="H427" s="587">
        <v>2800</v>
      </c>
      <c r="I427" s="588">
        <v>98.25</v>
      </c>
      <c r="J427" s="589">
        <f>H427+I427</f>
        <v>2898.25</v>
      </c>
      <c r="K427" s="587">
        <f>H427*F427</f>
        <v>11200</v>
      </c>
      <c r="L427" s="588">
        <f>I427*F427</f>
        <v>393</v>
      </c>
      <c r="M427" s="589">
        <f>K427+L427</f>
        <v>11593</v>
      </c>
      <c r="N427" s="585">
        <f>M427*$N$7</f>
        <v>2847.2408</v>
      </c>
      <c r="O427" s="585">
        <f>ROUND(M427+N427,2)</f>
        <v>14440.24</v>
      </c>
    </row>
    <row r="428" spans="1:15" s="25" customFormat="1" ht="14.25" x14ac:dyDescent="0.2">
      <c r="A428" s="166"/>
      <c r="B428" s="160"/>
      <c r="C428" s="31"/>
      <c r="D428" s="146" t="s">
        <v>288</v>
      </c>
      <c r="E428" s="32"/>
      <c r="F428" s="147"/>
      <c r="G428" s="33"/>
      <c r="H428" s="129"/>
      <c r="I428" s="29"/>
      <c r="J428" s="130"/>
      <c r="K428" s="129"/>
      <c r="L428" s="29"/>
      <c r="M428" s="130"/>
      <c r="N428" s="115"/>
      <c r="O428" s="115"/>
    </row>
    <row r="429" spans="1:15" s="25" customFormat="1" ht="45" x14ac:dyDescent="0.2">
      <c r="A429" s="581" t="s">
        <v>277</v>
      </c>
      <c r="B429" s="582" t="s">
        <v>988</v>
      </c>
      <c r="C429" s="583" t="s">
        <v>946</v>
      </c>
      <c r="D429" s="584" t="s">
        <v>670</v>
      </c>
      <c r="E429" s="583" t="s">
        <v>281</v>
      </c>
      <c r="F429" s="585">
        <f>'MEMÓRIA DE CÁLCULO'!D171</f>
        <v>2</v>
      </c>
      <c r="G429" s="586"/>
      <c r="H429" s="587">
        <v>353.68</v>
      </c>
      <c r="I429" s="588">
        <v>98.25</v>
      </c>
      <c r="J429" s="589">
        <f>H429+I429</f>
        <v>451.93</v>
      </c>
      <c r="K429" s="587">
        <f>H429*F429</f>
        <v>707.36</v>
      </c>
      <c r="L429" s="588">
        <f>I429*F429</f>
        <v>196.5</v>
      </c>
      <c r="M429" s="589">
        <f>K429+L429</f>
        <v>903.86</v>
      </c>
      <c r="N429" s="585">
        <f>M429*$N$7</f>
        <v>221.98801600000002</v>
      </c>
      <c r="O429" s="585">
        <f>ROUND(M429+N429,2)</f>
        <v>1125.8499999999999</v>
      </c>
    </row>
    <row r="430" spans="1:15" s="25" customFormat="1" ht="14.25" x14ac:dyDescent="0.2">
      <c r="A430" s="166"/>
      <c r="B430" s="160"/>
      <c r="C430" s="31"/>
      <c r="D430" s="146" t="s">
        <v>288</v>
      </c>
      <c r="E430" s="32"/>
      <c r="F430" s="147"/>
      <c r="G430" s="33"/>
      <c r="H430" s="129"/>
      <c r="I430" s="29"/>
      <c r="J430" s="130"/>
      <c r="K430" s="129"/>
      <c r="L430" s="29"/>
      <c r="M430" s="130"/>
      <c r="N430" s="115"/>
      <c r="O430" s="115"/>
    </row>
    <row r="431" spans="1:15" s="25" customFormat="1" ht="45" x14ac:dyDescent="0.2">
      <c r="A431" s="581" t="s">
        <v>277</v>
      </c>
      <c r="B431" s="582" t="s">
        <v>354</v>
      </c>
      <c r="C431" s="583" t="s">
        <v>664</v>
      </c>
      <c r="D431" s="584" t="s">
        <v>671</v>
      </c>
      <c r="E431" s="583" t="s">
        <v>281</v>
      </c>
      <c r="F431" s="585">
        <f>'MEMÓRIA DE CÁLCULO'!D172</f>
        <v>5</v>
      </c>
      <c r="G431" s="586"/>
      <c r="H431" s="587">
        <f>249.24+108.41</f>
        <v>357.65</v>
      </c>
      <c r="I431" s="588">
        <v>98.25</v>
      </c>
      <c r="J431" s="589">
        <f>H431+I431</f>
        <v>455.9</v>
      </c>
      <c r="K431" s="587">
        <f>H431*F431</f>
        <v>1788.25</v>
      </c>
      <c r="L431" s="588">
        <f>I431*F431</f>
        <v>491.25</v>
      </c>
      <c r="M431" s="589">
        <f>K431+L431</f>
        <v>2279.5</v>
      </c>
      <c r="N431" s="585">
        <f>M431*$N$7</f>
        <v>559.84519999999998</v>
      </c>
      <c r="O431" s="585">
        <f>ROUND(M431+N431,2)</f>
        <v>2839.35</v>
      </c>
    </row>
    <row r="432" spans="1:15" s="25" customFormat="1" ht="14.25" x14ac:dyDescent="0.2">
      <c r="A432" s="166"/>
      <c r="B432" s="160"/>
      <c r="C432" s="31"/>
      <c r="D432" s="146" t="s">
        <v>288</v>
      </c>
      <c r="E432" s="32"/>
      <c r="F432" s="147"/>
      <c r="G432" s="33"/>
      <c r="H432" s="129"/>
      <c r="I432" s="29"/>
      <c r="J432" s="130"/>
      <c r="K432" s="129"/>
      <c r="L432" s="29"/>
      <c r="M432" s="130"/>
      <c r="N432" s="115"/>
      <c r="O432" s="115"/>
    </row>
    <row r="433" spans="1:15" s="25" customFormat="1" ht="45" x14ac:dyDescent="0.2">
      <c r="A433" s="581" t="s">
        <v>277</v>
      </c>
      <c r="B433" s="582" t="s">
        <v>989</v>
      </c>
      <c r="C433" s="583" t="s">
        <v>665</v>
      </c>
      <c r="D433" s="584" t="s">
        <v>669</v>
      </c>
      <c r="E433" s="583" t="s">
        <v>281</v>
      </c>
      <c r="F433" s="585">
        <f>'MEMÓRIA DE CÁLCULO'!D173</f>
        <v>8</v>
      </c>
      <c r="G433" s="586"/>
      <c r="H433" s="587">
        <v>369.84</v>
      </c>
      <c r="I433" s="588">
        <v>98.25</v>
      </c>
      <c r="J433" s="589">
        <f>H433+I433</f>
        <v>468.09</v>
      </c>
      <c r="K433" s="587">
        <f>H433*F433</f>
        <v>2958.72</v>
      </c>
      <c r="L433" s="588">
        <f>I433*F433</f>
        <v>786</v>
      </c>
      <c r="M433" s="589">
        <f>K433+L433</f>
        <v>3744.72</v>
      </c>
      <c r="N433" s="585">
        <f>M433*$N$7</f>
        <v>919.70323199999996</v>
      </c>
      <c r="O433" s="585">
        <f>ROUND(M433+N433,2)</f>
        <v>4664.42</v>
      </c>
    </row>
    <row r="434" spans="1:15" s="25" customFormat="1" ht="14.25" x14ac:dyDescent="0.2">
      <c r="A434" s="166"/>
      <c r="B434" s="160"/>
      <c r="C434" s="31"/>
      <c r="D434" s="146" t="s">
        <v>288</v>
      </c>
      <c r="E434" s="32"/>
      <c r="F434" s="147"/>
      <c r="G434" s="33"/>
      <c r="H434" s="129"/>
      <c r="I434" s="29"/>
      <c r="J434" s="130"/>
      <c r="K434" s="129"/>
      <c r="L434" s="29"/>
      <c r="M434" s="130"/>
      <c r="N434" s="115"/>
      <c r="O434" s="115"/>
    </row>
    <row r="435" spans="1:15" s="25" customFormat="1" ht="45" x14ac:dyDescent="0.2">
      <c r="A435" s="581" t="s">
        <v>277</v>
      </c>
      <c r="B435" s="582" t="s">
        <v>355</v>
      </c>
      <c r="C435" s="583" t="s">
        <v>666</v>
      </c>
      <c r="D435" s="584" t="s">
        <v>672</v>
      </c>
      <c r="E435" s="583" t="s">
        <v>281</v>
      </c>
      <c r="F435" s="585">
        <f>'MEMÓRIA DE CÁLCULO'!D174</f>
        <v>1</v>
      </c>
      <c r="G435" s="586"/>
      <c r="H435" s="587">
        <v>605.66</v>
      </c>
      <c r="I435" s="588">
        <v>98.25</v>
      </c>
      <c r="J435" s="589">
        <f>H435+I435</f>
        <v>703.91</v>
      </c>
      <c r="K435" s="587">
        <f>H435*F435</f>
        <v>605.66</v>
      </c>
      <c r="L435" s="588">
        <f>I435*F435</f>
        <v>98.25</v>
      </c>
      <c r="M435" s="589">
        <f>K435+L435</f>
        <v>703.91</v>
      </c>
      <c r="N435" s="585">
        <f>M435*$N$7</f>
        <v>172.88029599999999</v>
      </c>
      <c r="O435" s="585">
        <f>ROUND(M435+N435,2)</f>
        <v>876.79</v>
      </c>
    </row>
    <row r="436" spans="1:15" s="25" customFormat="1" ht="14.25" x14ac:dyDescent="0.2">
      <c r="A436" s="166"/>
      <c r="B436" s="160"/>
      <c r="C436" s="31"/>
      <c r="D436" s="146" t="s">
        <v>288</v>
      </c>
      <c r="E436" s="32"/>
      <c r="F436" s="147"/>
      <c r="G436" s="33"/>
      <c r="H436" s="129"/>
      <c r="I436" s="29"/>
      <c r="J436" s="130"/>
      <c r="K436" s="129"/>
      <c r="L436" s="29"/>
      <c r="M436" s="130"/>
      <c r="N436" s="115"/>
      <c r="O436" s="115"/>
    </row>
    <row r="437" spans="1:15" s="25" customFormat="1" ht="14.25" x14ac:dyDescent="0.2">
      <c r="A437" s="167"/>
      <c r="B437" s="149"/>
      <c r="C437" s="152"/>
      <c r="D437" s="154" t="s">
        <v>189</v>
      </c>
      <c r="E437" s="152"/>
      <c r="F437" s="113"/>
      <c r="G437" s="145"/>
      <c r="H437" s="127"/>
      <c r="I437" s="37"/>
      <c r="J437" s="128"/>
      <c r="K437" s="127"/>
      <c r="L437" s="37"/>
      <c r="M437" s="128"/>
      <c r="N437" s="113"/>
      <c r="O437" s="113"/>
    </row>
    <row r="438" spans="1:15" s="25" customFormat="1" ht="11.25" customHeight="1" x14ac:dyDescent="0.2">
      <c r="A438" s="166"/>
      <c r="B438" s="160"/>
      <c r="C438" s="31"/>
      <c r="D438" s="146" t="s">
        <v>288</v>
      </c>
      <c r="E438" s="32"/>
      <c r="F438" s="147"/>
      <c r="G438" s="33"/>
      <c r="H438" s="129"/>
      <c r="I438" s="29"/>
      <c r="J438" s="130"/>
      <c r="K438" s="129"/>
      <c r="L438" s="29"/>
      <c r="M438" s="130"/>
      <c r="N438" s="115"/>
      <c r="O438" s="115"/>
    </row>
    <row r="439" spans="1:15" s="25" customFormat="1" ht="33.75" x14ac:dyDescent="0.2">
      <c r="A439" s="581" t="s">
        <v>277</v>
      </c>
      <c r="B439" s="582" t="s">
        <v>190</v>
      </c>
      <c r="C439" s="583" t="s">
        <v>667</v>
      </c>
      <c r="D439" s="584" t="s">
        <v>983</v>
      </c>
      <c r="E439" s="583" t="s">
        <v>281</v>
      </c>
      <c r="F439" s="585">
        <v>1</v>
      </c>
      <c r="G439" s="586"/>
      <c r="H439" s="588">
        <f>ROUND(SUM(H440:H450),2)</f>
        <v>2761.03</v>
      </c>
      <c r="I439" s="588">
        <f>ROUND(SUM(I440:I450),2)</f>
        <v>0</v>
      </c>
      <c r="J439" s="589">
        <f>H439+I439</f>
        <v>2761.03</v>
      </c>
      <c r="K439" s="587">
        <f>H439*F439</f>
        <v>2761.03</v>
      </c>
      <c r="L439" s="588">
        <f>I439*F439</f>
        <v>0</v>
      </c>
      <c r="M439" s="589">
        <f>K439+L439</f>
        <v>2761.03</v>
      </c>
      <c r="N439" s="585">
        <f>M439*$N$7</f>
        <v>678.10896800000012</v>
      </c>
      <c r="O439" s="585">
        <f>ROUND(M439+N439,2)</f>
        <v>3439.14</v>
      </c>
    </row>
    <row r="440" spans="1:15" s="25" customFormat="1" ht="14.25" x14ac:dyDescent="0.2">
      <c r="A440" s="146"/>
      <c r="B440" s="146"/>
      <c r="C440" s="146"/>
      <c r="D440" s="153" t="s">
        <v>502</v>
      </c>
      <c r="E440" s="34" t="s">
        <v>281</v>
      </c>
      <c r="F440" s="148">
        <v>2</v>
      </c>
      <c r="G440" s="35">
        <v>34.479999999999997</v>
      </c>
      <c r="H440" s="131">
        <f t="shared" ref="H440:H449" si="3">F440*G440</f>
        <v>68.959999999999994</v>
      </c>
      <c r="I440" s="30"/>
      <c r="J440" s="132"/>
      <c r="K440" s="131"/>
      <c r="L440" s="30"/>
      <c r="M440" s="132"/>
      <c r="N440" s="117"/>
      <c r="O440" s="117"/>
    </row>
    <row r="441" spans="1:15" s="25" customFormat="1" ht="14.25" x14ac:dyDescent="0.2">
      <c r="A441" s="146"/>
      <c r="B441" s="146"/>
      <c r="C441" s="146"/>
      <c r="D441" s="153" t="s">
        <v>503</v>
      </c>
      <c r="E441" s="34" t="s">
        <v>281</v>
      </c>
      <c r="F441" s="148">
        <v>2</v>
      </c>
      <c r="G441" s="35">
        <v>25.37</v>
      </c>
      <c r="H441" s="131">
        <f t="shared" si="3"/>
        <v>50.74</v>
      </c>
      <c r="I441" s="30"/>
      <c r="J441" s="132"/>
      <c r="K441" s="131"/>
      <c r="L441" s="30"/>
      <c r="M441" s="132"/>
      <c r="N441" s="115"/>
      <c r="O441" s="115"/>
    </row>
    <row r="442" spans="1:15" s="25" customFormat="1" ht="14.25" x14ac:dyDescent="0.2">
      <c r="A442" s="146"/>
      <c r="B442" s="146"/>
      <c r="C442" s="146"/>
      <c r="D442" s="153" t="s">
        <v>504</v>
      </c>
      <c r="E442" s="34" t="s">
        <v>281</v>
      </c>
      <c r="F442" s="148">
        <v>1</v>
      </c>
      <c r="G442" s="35">
        <v>52.79</v>
      </c>
      <c r="H442" s="131">
        <f t="shared" si="3"/>
        <v>52.79</v>
      </c>
      <c r="I442" s="30"/>
      <c r="J442" s="132"/>
      <c r="K442" s="131"/>
      <c r="L442" s="30"/>
      <c r="M442" s="132"/>
      <c r="N442" s="115"/>
      <c r="O442" s="115"/>
    </row>
    <row r="443" spans="1:15" s="25" customFormat="1" ht="14.25" x14ac:dyDescent="0.2">
      <c r="A443" s="146"/>
      <c r="B443" s="146"/>
      <c r="C443" s="146"/>
      <c r="D443" s="153" t="s">
        <v>505</v>
      </c>
      <c r="E443" s="34" t="s">
        <v>281</v>
      </c>
      <c r="F443" s="148">
        <v>2</v>
      </c>
      <c r="G443" s="35">
        <v>600</v>
      </c>
      <c r="H443" s="131">
        <f t="shared" si="3"/>
        <v>1200</v>
      </c>
      <c r="I443" s="30"/>
      <c r="J443" s="132"/>
      <c r="K443" s="131"/>
      <c r="L443" s="30"/>
      <c r="M443" s="132"/>
      <c r="N443" s="115"/>
      <c r="O443" s="115"/>
    </row>
    <row r="444" spans="1:15" s="25" customFormat="1" ht="14.25" x14ac:dyDescent="0.2">
      <c r="A444" s="146"/>
      <c r="B444" s="146"/>
      <c r="C444" s="146"/>
      <c r="D444" s="153" t="s">
        <v>506</v>
      </c>
      <c r="E444" s="34" t="s">
        <v>281</v>
      </c>
      <c r="F444" s="148">
        <v>2</v>
      </c>
      <c r="G444" s="35">
        <v>18.34</v>
      </c>
      <c r="H444" s="131">
        <f t="shared" si="3"/>
        <v>36.68</v>
      </c>
      <c r="I444" s="30"/>
      <c r="J444" s="132"/>
      <c r="K444" s="131"/>
      <c r="L444" s="30"/>
      <c r="M444" s="132"/>
      <c r="N444" s="114"/>
      <c r="O444" s="114"/>
    </row>
    <row r="445" spans="1:15" s="25" customFormat="1" ht="14.25" x14ac:dyDescent="0.2">
      <c r="A445" s="146"/>
      <c r="B445" s="146"/>
      <c r="C445" s="146"/>
      <c r="D445" s="153" t="s">
        <v>507</v>
      </c>
      <c r="E445" s="34" t="s">
        <v>281</v>
      </c>
      <c r="F445" s="148">
        <v>2</v>
      </c>
      <c r="G445" s="35">
        <v>27.33</v>
      </c>
      <c r="H445" s="131">
        <f t="shared" si="3"/>
        <v>54.66</v>
      </c>
      <c r="I445" s="30"/>
      <c r="J445" s="132"/>
      <c r="K445" s="131"/>
      <c r="L445" s="30"/>
      <c r="M445" s="132"/>
      <c r="N445" s="114"/>
      <c r="O445" s="114"/>
    </row>
    <row r="446" spans="1:15" s="25" customFormat="1" ht="14.25" x14ac:dyDescent="0.2">
      <c r="A446" s="146"/>
      <c r="B446" s="146"/>
      <c r="C446" s="146"/>
      <c r="D446" s="153" t="s">
        <v>508</v>
      </c>
      <c r="E446" s="34" t="s">
        <v>281</v>
      </c>
      <c r="F446" s="148">
        <v>2</v>
      </c>
      <c r="G446" s="35">
        <v>4.75</v>
      </c>
      <c r="H446" s="131">
        <f t="shared" si="3"/>
        <v>9.5</v>
      </c>
      <c r="I446" s="30"/>
      <c r="J446" s="132"/>
      <c r="K446" s="131"/>
      <c r="L446" s="30"/>
      <c r="M446" s="132"/>
      <c r="N446" s="115"/>
      <c r="O446" s="115"/>
    </row>
    <row r="447" spans="1:15" s="25" customFormat="1" ht="14.25" x14ac:dyDescent="0.2">
      <c r="A447" s="146"/>
      <c r="B447" s="146"/>
      <c r="C447" s="146"/>
      <c r="D447" s="153" t="s">
        <v>509</v>
      </c>
      <c r="E447" s="34" t="s">
        <v>281</v>
      </c>
      <c r="F447" s="148">
        <v>1</v>
      </c>
      <c r="G447" s="35">
        <v>3.67</v>
      </c>
      <c r="H447" s="131">
        <f t="shared" si="3"/>
        <v>3.67</v>
      </c>
      <c r="I447" s="30"/>
      <c r="J447" s="132"/>
      <c r="K447" s="131"/>
      <c r="L447" s="30"/>
      <c r="M447" s="132"/>
      <c r="N447" s="115"/>
      <c r="O447" s="115"/>
    </row>
    <row r="448" spans="1:15" s="25" customFormat="1" ht="14.25" x14ac:dyDescent="0.2">
      <c r="A448" s="146"/>
      <c r="B448" s="146"/>
      <c r="C448" s="146"/>
      <c r="D448" s="153" t="s">
        <v>510</v>
      </c>
      <c r="E448" s="34" t="s">
        <v>281</v>
      </c>
      <c r="F448" s="148">
        <v>1</v>
      </c>
      <c r="G448" s="35">
        <v>21.55</v>
      </c>
      <c r="H448" s="131">
        <f t="shared" si="3"/>
        <v>21.55</v>
      </c>
      <c r="I448" s="30"/>
      <c r="J448" s="132"/>
      <c r="K448" s="131"/>
      <c r="L448" s="30"/>
      <c r="M448" s="132"/>
      <c r="N448" s="115"/>
      <c r="O448" s="115"/>
    </row>
    <row r="449" spans="1:15" s="25" customFormat="1" ht="14.25" x14ac:dyDescent="0.2">
      <c r="A449" s="146"/>
      <c r="B449" s="146"/>
      <c r="C449" s="146"/>
      <c r="D449" s="153" t="s">
        <v>511</v>
      </c>
      <c r="E449" s="34" t="s">
        <v>183</v>
      </c>
      <c r="F449" s="148">
        <v>3.78</v>
      </c>
      <c r="G449" s="35">
        <v>212.25</v>
      </c>
      <c r="H449" s="131">
        <f t="shared" si="3"/>
        <v>802.30499999999995</v>
      </c>
      <c r="I449" s="30"/>
      <c r="J449" s="132"/>
      <c r="K449" s="131"/>
      <c r="L449" s="30"/>
      <c r="M449" s="132"/>
      <c r="N449" s="114"/>
      <c r="O449" s="114"/>
    </row>
    <row r="450" spans="1:15" s="25" customFormat="1" ht="14.25" x14ac:dyDescent="0.2">
      <c r="A450" s="146"/>
      <c r="B450" s="146"/>
      <c r="C450" s="146"/>
      <c r="D450" s="153" t="s">
        <v>512</v>
      </c>
      <c r="E450" s="34" t="s">
        <v>334</v>
      </c>
      <c r="F450" s="148">
        <v>30</v>
      </c>
      <c r="G450" s="35">
        <v>2300.87</v>
      </c>
      <c r="H450" s="131">
        <f>G450*0.2</f>
        <v>460.17399999999998</v>
      </c>
      <c r="I450" s="30"/>
      <c r="J450" s="132"/>
      <c r="K450" s="131"/>
      <c r="L450" s="30"/>
      <c r="M450" s="132"/>
      <c r="N450" s="114"/>
      <c r="O450" s="114"/>
    </row>
    <row r="451" spans="1:15" s="25" customFormat="1" ht="14.25" x14ac:dyDescent="0.2">
      <c r="A451" s="166"/>
      <c r="B451" s="160"/>
      <c r="C451" s="31"/>
      <c r="D451" s="146" t="s">
        <v>288</v>
      </c>
      <c r="E451" s="32"/>
      <c r="F451" s="147"/>
      <c r="G451" s="33"/>
      <c r="H451" s="129"/>
      <c r="I451" s="29"/>
      <c r="J451" s="130"/>
      <c r="K451" s="129"/>
      <c r="L451" s="29"/>
      <c r="M451" s="130"/>
      <c r="N451" s="115"/>
      <c r="O451" s="115"/>
    </row>
    <row r="452" spans="1:15" s="25" customFormat="1" ht="22.5" x14ac:dyDescent="0.2">
      <c r="A452" s="581" t="s">
        <v>278</v>
      </c>
      <c r="B452" s="582">
        <v>27008000022</v>
      </c>
      <c r="C452" s="583" t="s">
        <v>668</v>
      </c>
      <c r="D452" s="584" t="s">
        <v>134</v>
      </c>
      <c r="E452" s="583" t="s">
        <v>227</v>
      </c>
      <c r="F452" s="585">
        <f>'MEMÓRIA DE CÁLCULO'!D178</f>
        <v>8</v>
      </c>
      <c r="G452" s="586"/>
      <c r="H452" s="588">
        <f>ROUND(SUM(H453:H457),2)</f>
        <v>347.62</v>
      </c>
      <c r="I452" s="588">
        <f>ROUND(SUM(I453:I457),2)</f>
        <v>85.07</v>
      </c>
      <c r="J452" s="589">
        <f>H452+I452</f>
        <v>432.69</v>
      </c>
      <c r="K452" s="587">
        <f>H452*F452</f>
        <v>2780.96</v>
      </c>
      <c r="L452" s="588">
        <f>I452*F452</f>
        <v>680.56</v>
      </c>
      <c r="M452" s="589">
        <f>K452+L452</f>
        <v>3461.52</v>
      </c>
      <c r="N452" s="585">
        <f>M452*$N$7</f>
        <v>850.14931200000001</v>
      </c>
      <c r="O452" s="585">
        <f>ROUND(M452+N452,2)</f>
        <v>4311.67</v>
      </c>
    </row>
    <row r="453" spans="1:15" s="25" customFormat="1" ht="14.25" x14ac:dyDescent="0.2">
      <c r="A453" s="168"/>
      <c r="B453" s="159"/>
      <c r="C453" s="34"/>
      <c r="D453" s="153" t="s">
        <v>335</v>
      </c>
      <c r="E453" s="34" t="s">
        <v>229</v>
      </c>
      <c r="F453" s="148">
        <v>3.3</v>
      </c>
      <c r="G453" s="35">
        <v>16.86</v>
      </c>
      <c r="H453" s="131"/>
      <c r="I453" s="30">
        <f>F453*G453</f>
        <v>55.637999999999998</v>
      </c>
      <c r="J453" s="132"/>
      <c r="K453" s="131"/>
      <c r="L453" s="30"/>
      <c r="M453" s="132"/>
      <c r="N453" s="117"/>
      <c r="O453" s="117"/>
    </row>
    <row r="454" spans="1:15" s="25" customFormat="1" ht="14.25" x14ac:dyDescent="0.2">
      <c r="A454" s="168"/>
      <c r="B454" s="159"/>
      <c r="C454" s="34"/>
      <c r="D454" s="153" t="s">
        <v>207</v>
      </c>
      <c r="E454" s="34" t="s">
        <v>229</v>
      </c>
      <c r="F454" s="148">
        <v>3.3</v>
      </c>
      <c r="G454" s="35">
        <v>8.92</v>
      </c>
      <c r="H454" s="131"/>
      <c r="I454" s="30">
        <f>F454*G454</f>
        <v>29.436</v>
      </c>
      <c r="J454" s="132"/>
      <c r="K454" s="131"/>
      <c r="L454" s="30"/>
      <c r="M454" s="132"/>
      <c r="N454" s="115"/>
      <c r="O454" s="115"/>
    </row>
    <row r="455" spans="1:15" s="25" customFormat="1" ht="14.25" x14ac:dyDescent="0.2">
      <c r="A455" s="168"/>
      <c r="B455" s="159"/>
      <c r="C455" s="34"/>
      <c r="D455" s="153" t="s">
        <v>511</v>
      </c>
      <c r="E455" s="34" t="s">
        <v>253</v>
      </c>
      <c r="F455" s="148">
        <f>0.9*0.75*1.05</f>
        <v>0.7087500000000001</v>
      </c>
      <c r="G455" s="35">
        <v>212.25</v>
      </c>
      <c r="H455" s="131">
        <f>F455*G455</f>
        <v>150.43218750000003</v>
      </c>
      <c r="I455" s="30"/>
      <c r="J455" s="132"/>
      <c r="K455" s="131"/>
      <c r="L455" s="30"/>
      <c r="M455" s="132"/>
      <c r="N455" s="115"/>
      <c r="O455" s="115"/>
    </row>
    <row r="456" spans="1:15" s="25" customFormat="1" ht="14.25" x14ac:dyDescent="0.2">
      <c r="A456" s="168"/>
      <c r="B456" s="159"/>
      <c r="C456" s="34">
        <v>20241</v>
      </c>
      <c r="D456" s="153" t="s">
        <v>559</v>
      </c>
      <c r="E456" s="34" t="s">
        <v>135</v>
      </c>
      <c r="F456" s="148">
        <v>1</v>
      </c>
      <c r="G456" s="35">
        <v>83.85</v>
      </c>
      <c r="H456" s="131">
        <f>F456*G456</f>
        <v>83.85</v>
      </c>
      <c r="I456" s="30"/>
      <c r="J456" s="132"/>
      <c r="K456" s="131"/>
      <c r="L456" s="30"/>
      <c r="M456" s="132"/>
      <c r="N456" s="115"/>
      <c r="O456" s="115"/>
    </row>
    <row r="457" spans="1:15" s="25" customFormat="1" ht="16.5" x14ac:dyDescent="0.2">
      <c r="A457" s="168"/>
      <c r="B457" s="159"/>
      <c r="C457" s="458" t="s">
        <v>995</v>
      </c>
      <c r="D457" s="153" t="s">
        <v>560</v>
      </c>
      <c r="E457" s="34" t="s">
        <v>227</v>
      </c>
      <c r="F457" s="148">
        <v>1</v>
      </c>
      <c r="G457" s="35">
        <v>113.34</v>
      </c>
      <c r="H457" s="131">
        <f>F457*G457</f>
        <v>113.34</v>
      </c>
      <c r="I457" s="30"/>
      <c r="J457" s="132"/>
      <c r="K457" s="131"/>
      <c r="L457" s="30"/>
      <c r="M457" s="132"/>
      <c r="N457" s="115"/>
      <c r="O457" s="115"/>
    </row>
    <row r="458" spans="1:15" s="25" customFormat="1" ht="14.25" x14ac:dyDescent="0.2">
      <c r="A458" s="168"/>
      <c r="B458" s="159"/>
      <c r="C458" s="34"/>
      <c r="D458" s="153"/>
      <c r="E458" s="34"/>
      <c r="F458" s="148"/>
      <c r="G458" s="35"/>
      <c r="H458" s="131"/>
      <c r="I458" s="30"/>
      <c r="J458" s="132"/>
      <c r="K458" s="131"/>
      <c r="L458" s="30"/>
      <c r="M458" s="132"/>
      <c r="N458" s="115"/>
      <c r="O458" s="115"/>
    </row>
    <row r="459" spans="1:15" s="25" customFormat="1" ht="22.5" x14ac:dyDescent="0.2">
      <c r="A459" s="581" t="s">
        <v>278</v>
      </c>
      <c r="B459" s="582">
        <v>27008000022</v>
      </c>
      <c r="C459" s="583" t="s">
        <v>947</v>
      </c>
      <c r="D459" s="584" t="s">
        <v>760</v>
      </c>
      <c r="E459" s="583" t="s">
        <v>227</v>
      </c>
      <c r="F459" s="585">
        <f>'MEMÓRIA DE CÁLCULO'!D180+'MEMÓRIA DE CÁLCULO'!D181</f>
        <v>5</v>
      </c>
      <c r="G459" s="586"/>
      <c r="H459" s="588">
        <f>ROUND(SUM(H460:H463),2)</f>
        <v>413.96</v>
      </c>
      <c r="I459" s="588">
        <f>ROUND(SUM(I460:I463),2)</f>
        <v>99.7</v>
      </c>
      <c r="J459" s="589">
        <f>H459+I459</f>
        <v>513.66</v>
      </c>
      <c r="K459" s="587">
        <f>H459*F459</f>
        <v>2069.7999999999997</v>
      </c>
      <c r="L459" s="588">
        <f>I459*F459</f>
        <v>498.5</v>
      </c>
      <c r="M459" s="589">
        <f>K459+L459</f>
        <v>2568.2999999999997</v>
      </c>
      <c r="N459" s="585">
        <f>M459*$N$7</f>
        <v>630.77447999999993</v>
      </c>
      <c r="O459" s="585">
        <f>ROUND(M459+N459,2)</f>
        <v>3199.07</v>
      </c>
    </row>
    <row r="460" spans="1:15" s="25" customFormat="1" ht="14.25" x14ac:dyDescent="0.2">
      <c r="A460" s="168"/>
      <c r="B460" s="159"/>
      <c r="C460" s="34"/>
      <c r="D460" s="153" t="s">
        <v>335</v>
      </c>
      <c r="E460" s="34" t="s">
        <v>229</v>
      </c>
      <c r="F460" s="148">
        <f>1.3*0.85*3.5</f>
        <v>3.8674999999999997</v>
      </c>
      <c r="G460" s="35">
        <v>16.86</v>
      </c>
      <c r="H460" s="131"/>
      <c r="I460" s="30">
        <f>F460*G460</f>
        <v>65.206049999999991</v>
      </c>
      <c r="J460" s="132"/>
      <c r="K460" s="131"/>
      <c r="L460" s="30"/>
      <c r="M460" s="132"/>
      <c r="N460" s="117"/>
      <c r="O460" s="117"/>
    </row>
    <row r="461" spans="1:15" s="25" customFormat="1" ht="14.25" x14ac:dyDescent="0.2">
      <c r="A461" s="168"/>
      <c r="B461" s="159"/>
      <c r="C461" s="34"/>
      <c r="D461" s="153" t="s">
        <v>207</v>
      </c>
      <c r="E461" s="34" t="s">
        <v>229</v>
      </c>
      <c r="F461" s="148">
        <f>1.3*0.85*3.5</f>
        <v>3.8674999999999997</v>
      </c>
      <c r="G461" s="35">
        <v>8.92</v>
      </c>
      <c r="H461" s="131"/>
      <c r="I461" s="30">
        <f>F461*G461</f>
        <v>34.498099999999994</v>
      </c>
      <c r="J461" s="132"/>
      <c r="K461" s="131"/>
      <c r="L461" s="30"/>
      <c r="M461" s="132"/>
      <c r="N461" s="115"/>
      <c r="O461" s="115"/>
    </row>
    <row r="462" spans="1:15" s="25" customFormat="1" ht="14.25" x14ac:dyDescent="0.2">
      <c r="A462" s="168"/>
      <c r="B462" s="159"/>
      <c r="C462" s="34"/>
      <c r="D462" s="153" t="s">
        <v>511</v>
      </c>
      <c r="E462" s="34" t="s">
        <v>253</v>
      </c>
      <c r="F462" s="148">
        <f>1.3*0.85*1.05</f>
        <v>1.16025</v>
      </c>
      <c r="G462" s="35">
        <v>212.25</v>
      </c>
      <c r="H462" s="131">
        <f>F462*G462</f>
        <v>246.26306249999999</v>
      </c>
      <c r="I462" s="30"/>
      <c r="J462" s="132"/>
      <c r="K462" s="131"/>
      <c r="L462" s="30"/>
      <c r="M462" s="132"/>
      <c r="N462" s="115"/>
      <c r="O462" s="115"/>
    </row>
    <row r="463" spans="1:15" s="25" customFormat="1" ht="14.25" x14ac:dyDescent="0.2">
      <c r="A463" s="168"/>
      <c r="B463" s="159"/>
      <c r="C463" s="34">
        <v>20241</v>
      </c>
      <c r="D463" s="153" t="s">
        <v>559</v>
      </c>
      <c r="E463" s="34" t="s">
        <v>135</v>
      </c>
      <c r="F463" s="148">
        <v>2</v>
      </c>
      <c r="G463" s="35">
        <v>83.85</v>
      </c>
      <c r="H463" s="131">
        <f>F463*G463</f>
        <v>167.7</v>
      </c>
      <c r="I463" s="30"/>
      <c r="J463" s="132"/>
      <c r="K463" s="131"/>
      <c r="L463" s="30"/>
      <c r="M463" s="132"/>
      <c r="N463" s="115"/>
      <c r="O463" s="115"/>
    </row>
    <row r="464" spans="1:15" s="25" customFormat="1" ht="14.25" x14ac:dyDescent="0.2">
      <c r="A464" s="168"/>
      <c r="B464" s="159"/>
      <c r="C464" s="34"/>
      <c r="D464" s="153"/>
      <c r="E464" s="34"/>
      <c r="F464" s="148"/>
      <c r="G464" s="35"/>
      <c r="H464" s="131"/>
      <c r="I464" s="30"/>
      <c r="J464" s="132"/>
      <c r="K464" s="131"/>
      <c r="L464" s="30"/>
      <c r="M464" s="132"/>
      <c r="N464" s="115"/>
      <c r="O464" s="115"/>
    </row>
    <row r="465" spans="1:15" s="25" customFormat="1" ht="22.5" x14ac:dyDescent="0.2">
      <c r="A465" s="581" t="s">
        <v>278</v>
      </c>
      <c r="B465" s="582">
        <v>27008000022</v>
      </c>
      <c r="C465" s="583" t="s">
        <v>948</v>
      </c>
      <c r="D465" s="584" t="s">
        <v>761</v>
      </c>
      <c r="E465" s="583" t="s">
        <v>227</v>
      </c>
      <c r="F465" s="585">
        <f>'MEMÓRIA DE CÁLCULO'!D181</f>
        <v>1</v>
      </c>
      <c r="G465" s="586"/>
      <c r="H465" s="588">
        <f>ROUND(SUM(H466:H469),2)</f>
        <v>573.30999999999995</v>
      </c>
      <c r="I465" s="588">
        <f>ROUND(SUM(I466:I469),2)</f>
        <v>164.22</v>
      </c>
      <c r="J465" s="589">
        <f>H465+I465</f>
        <v>737.53</v>
      </c>
      <c r="K465" s="587">
        <f>H465*F465</f>
        <v>573.30999999999995</v>
      </c>
      <c r="L465" s="588">
        <f>I465*F465</f>
        <v>164.22</v>
      </c>
      <c r="M465" s="589">
        <f>K465+L465</f>
        <v>737.53</v>
      </c>
      <c r="N465" s="585">
        <f>M465*$N$7</f>
        <v>181.13736800000001</v>
      </c>
      <c r="O465" s="585">
        <f>ROUND(M465+N465,2)</f>
        <v>918.67</v>
      </c>
    </row>
    <row r="466" spans="1:15" s="25" customFormat="1" ht="14.25" x14ac:dyDescent="0.2">
      <c r="A466" s="168"/>
      <c r="B466" s="159"/>
      <c r="C466" s="34"/>
      <c r="D466" s="153" t="s">
        <v>335</v>
      </c>
      <c r="E466" s="34" t="s">
        <v>229</v>
      </c>
      <c r="F466" s="148">
        <f>1.3*1.4*3.5</f>
        <v>6.3699999999999992</v>
      </c>
      <c r="G466" s="35">
        <v>16.86</v>
      </c>
      <c r="H466" s="131"/>
      <c r="I466" s="30">
        <f>F466*G466</f>
        <v>107.39819999999999</v>
      </c>
      <c r="J466" s="132"/>
      <c r="K466" s="131"/>
      <c r="L466" s="30"/>
      <c r="M466" s="132"/>
      <c r="N466" s="117"/>
      <c r="O466" s="117"/>
    </row>
    <row r="467" spans="1:15" s="25" customFormat="1" ht="14.25" x14ac:dyDescent="0.2">
      <c r="A467" s="168"/>
      <c r="B467" s="159"/>
      <c r="C467" s="34"/>
      <c r="D467" s="153" t="s">
        <v>207</v>
      </c>
      <c r="E467" s="34" t="s">
        <v>229</v>
      </c>
      <c r="F467" s="148">
        <f>1.3*1.4*3.5</f>
        <v>6.3699999999999992</v>
      </c>
      <c r="G467" s="35">
        <v>8.92</v>
      </c>
      <c r="H467" s="131"/>
      <c r="I467" s="30">
        <f>F467*G467</f>
        <v>56.820399999999992</v>
      </c>
      <c r="J467" s="132"/>
      <c r="K467" s="131"/>
      <c r="L467" s="30"/>
      <c r="M467" s="132"/>
      <c r="N467" s="115"/>
      <c r="O467" s="115"/>
    </row>
    <row r="468" spans="1:15" s="25" customFormat="1" ht="14.25" x14ac:dyDescent="0.2">
      <c r="A468" s="168"/>
      <c r="B468" s="159"/>
      <c r="C468" s="34"/>
      <c r="D468" s="153" t="s">
        <v>511</v>
      </c>
      <c r="E468" s="34" t="s">
        <v>253</v>
      </c>
      <c r="F468" s="148">
        <f>1.3*1.4*1.05</f>
        <v>1.9109999999999998</v>
      </c>
      <c r="G468" s="35">
        <v>212.25</v>
      </c>
      <c r="H468" s="131">
        <f>F468*G468</f>
        <v>405.60974999999996</v>
      </c>
      <c r="I468" s="30"/>
      <c r="J468" s="132"/>
      <c r="K468" s="131"/>
      <c r="L468" s="30"/>
      <c r="M468" s="132"/>
      <c r="N468" s="115"/>
      <c r="O468" s="115"/>
    </row>
    <row r="469" spans="1:15" s="25" customFormat="1" ht="14.25" x14ac:dyDescent="0.2">
      <c r="A469" s="168"/>
      <c r="B469" s="159"/>
      <c r="C469" s="34">
        <v>20241</v>
      </c>
      <c r="D469" s="153" t="s">
        <v>559</v>
      </c>
      <c r="E469" s="34" t="s">
        <v>135</v>
      </c>
      <c r="F469" s="148">
        <v>2</v>
      </c>
      <c r="G469" s="35">
        <v>83.85</v>
      </c>
      <c r="H469" s="131">
        <f>F469*G469</f>
        <v>167.7</v>
      </c>
      <c r="I469" s="30"/>
      <c r="J469" s="132"/>
      <c r="K469" s="131"/>
      <c r="L469" s="30"/>
      <c r="M469" s="132"/>
      <c r="N469" s="115"/>
      <c r="O469" s="115"/>
    </row>
    <row r="470" spans="1:15" s="25" customFormat="1" ht="14.25" x14ac:dyDescent="0.2">
      <c r="A470" s="168"/>
      <c r="B470" s="159"/>
      <c r="C470" s="34"/>
      <c r="D470" s="153"/>
      <c r="E470" s="34"/>
      <c r="F470" s="148"/>
      <c r="G470" s="35"/>
      <c r="H470" s="131">
        <f>F470*G470</f>
        <v>0</v>
      </c>
      <c r="I470" s="30"/>
      <c r="J470" s="132"/>
      <c r="K470" s="131"/>
      <c r="L470" s="30"/>
      <c r="M470" s="132"/>
      <c r="N470" s="115"/>
      <c r="O470" s="115"/>
    </row>
    <row r="471" spans="1:15" s="25" customFormat="1" ht="22.5" x14ac:dyDescent="0.2">
      <c r="A471" s="581" t="s">
        <v>278</v>
      </c>
      <c r="B471" s="582">
        <v>27008000022</v>
      </c>
      <c r="C471" s="583" t="s">
        <v>949</v>
      </c>
      <c r="D471" s="584" t="s">
        <v>113</v>
      </c>
      <c r="E471" s="583" t="s">
        <v>227</v>
      </c>
      <c r="F471" s="585">
        <f>'MEMÓRIA DE CÁLCULO'!D182+'MEMÓRIA DE CÁLCULO'!D183</f>
        <v>2</v>
      </c>
      <c r="G471" s="586"/>
      <c r="H471" s="588">
        <f>ROUND(SUM(H472:H475),2)</f>
        <v>622.34</v>
      </c>
      <c r="I471" s="588">
        <f>ROUND(SUM(I472:I475),2)</f>
        <v>400.62</v>
      </c>
      <c r="J471" s="589">
        <f>H471+I471</f>
        <v>1022.96</v>
      </c>
      <c r="K471" s="587">
        <f>H471*F471</f>
        <v>1244.68</v>
      </c>
      <c r="L471" s="588">
        <f>I471*F471</f>
        <v>801.24</v>
      </c>
      <c r="M471" s="589">
        <f>K471+L471</f>
        <v>2045.92</v>
      </c>
      <c r="N471" s="585">
        <f>M471*$N$7</f>
        <v>502.47795200000002</v>
      </c>
      <c r="O471" s="585">
        <f>ROUND(M471+N471,2)</f>
        <v>2548.4</v>
      </c>
    </row>
    <row r="472" spans="1:15" s="25" customFormat="1" ht="14.25" x14ac:dyDescent="0.2">
      <c r="A472" s="168"/>
      <c r="B472" s="159"/>
      <c r="C472" s="34"/>
      <c r="D472" s="153" t="s">
        <v>335</v>
      </c>
      <c r="E472" s="34" t="s">
        <v>229</v>
      </c>
      <c r="F472" s="148">
        <f>2.4*1.85*3.5</f>
        <v>15.540000000000001</v>
      </c>
      <c r="G472" s="35">
        <v>16.86</v>
      </c>
      <c r="H472" s="131"/>
      <c r="I472" s="30">
        <f>F472*G472</f>
        <v>262.00440000000003</v>
      </c>
      <c r="J472" s="132"/>
      <c r="K472" s="131"/>
      <c r="L472" s="30"/>
      <c r="M472" s="132"/>
      <c r="N472" s="117"/>
      <c r="O472" s="117"/>
    </row>
    <row r="473" spans="1:15" s="25" customFormat="1" ht="14.25" x14ac:dyDescent="0.2">
      <c r="A473" s="168"/>
      <c r="B473" s="159"/>
      <c r="C473" s="34"/>
      <c r="D473" s="153" t="s">
        <v>207</v>
      </c>
      <c r="E473" s="34" t="s">
        <v>229</v>
      </c>
      <c r="F473" s="148">
        <f>2.4*1.85*3.5</f>
        <v>15.540000000000001</v>
      </c>
      <c r="G473" s="35">
        <v>8.92</v>
      </c>
      <c r="H473" s="131"/>
      <c r="I473" s="30">
        <f>F473*G473</f>
        <v>138.61680000000001</v>
      </c>
      <c r="J473" s="132"/>
      <c r="K473" s="131"/>
      <c r="L473" s="30"/>
      <c r="M473" s="132"/>
      <c r="N473" s="115"/>
      <c r="O473" s="115"/>
    </row>
    <row r="474" spans="1:15" s="25" customFormat="1" ht="14.25" x14ac:dyDescent="0.2">
      <c r="A474" s="168"/>
      <c r="B474" s="159"/>
      <c r="C474" s="34"/>
      <c r="D474" s="153" t="s">
        <v>511</v>
      </c>
      <c r="E474" s="34" t="s">
        <v>253</v>
      </c>
      <c r="F474" s="148">
        <f>2.04*1.05</f>
        <v>2.1420000000000003</v>
      </c>
      <c r="G474" s="35">
        <v>212.25</v>
      </c>
      <c r="H474" s="131">
        <f>F474*G474</f>
        <v>454.63950000000006</v>
      </c>
      <c r="I474" s="30"/>
      <c r="J474" s="132"/>
      <c r="K474" s="131"/>
      <c r="L474" s="30"/>
      <c r="M474" s="132"/>
      <c r="N474" s="115"/>
      <c r="O474" s="115"/>
    </row>
    <row r="475" spans="1:15" s="25" customFormat="1" ht="14.25" x14ac:dyDescent="0.2">
      <c r="A475" s="168"/>
      <c r="B475" s="159"/>
      <c r="C475" s="34">
        <v>20241</v>
      </c>
      <c r="D475" s="153" t="s">
        <v>559</v>
      </c>
      <c r="E475" s="34" t="s">
        <v>135</v>
      </c>
      <c r="F475" s="148">
        <v>2</v>
      </c>
      <c r="G475" s="35">
        <v>83.85</v>
      </c>
      <c r="H475" s="131">
        <f>F475*G475</f>
        <v>167.7</v>
      </c>
      <c r="I475" s="30"/>
      <c r="J475" s="132"/>
      <c r="K475" s="131"/>
      <c r="L475" s="30"/>
      <c r="M475" s="132"/>
      <c r="N475" s="115"/>
      <c r="O475" s="115"/>
    </row>
    <row r="476" spans="1:15" s="25" customFormat="1" ht="14.25" x14ac:dyDescent="0.2">
      <c r="A476" s="168"/>
      <c r="B476" s="159"/>
      <c r="C476" s="34"/>
      <c r="D476" s="153"/>
      <c r="E476" s="34"/>
      <c r="F476" s="148"/>
      <c r="G476" s="35"/>
      <c r="H476" s="131"/>
      <c r="I476" s="30"/>
      <c r="J476" s="132"/>
      <c r="K476" s="131"/>
      <c r="L476" s="30"/>
      <c r="M476" s="132"/>
      <c r="N476" s="115"/>
      <c r="O476" s="115"/>
    </row>
    <row r="477" spans="1:15" s="25" customFormat="1" ht="14.25" x14ac:dyDescent="0.2">
      <c r="A477" s="167"/>
      <c r="B477" s="149"/>
      <c r="C477" s="152"/>
      <c r="D477" s="154" t="s">
        <v>295</v>
      </c>
      <c r="E477" s="152"/>
      <c r="F477" s="113"/>
      <c r="G477" s="145"/>
      <c r="H477" s="127"/>
      <c r="I477" s="37"/>
      <c r="J477" s="128"/>
      <c r="K477" s="127"/>
      <c r="L477" s="37"/>
      <c r="M477" s="128"/>
      <c r="N477" s="113"/>
      <c r="O477" s="113"/>
    </row>
    <row r="478" spans="1:15" s="25" customFormat="1" ht="14.25" x14ac:dyDescent="0.2">
      <c r="A478" s="166"/>
      <c r="B478" s="160"/>
      <c r="C478" s="31"/>
      <c r="D478" s="146" t="s">
        <v>288</v>
      </c>
      <c r="E478" s="32"/>
      <c r="F478" s="147"/>
      <c r="G478" s="33"/>
      <c r="H478" s="129"/>
      <c r="I478" s="29"/>
      <c r="J478" s="130"/>
      <c r="K478" s="129"/>
      <c r="L478" s="29"/>
      <c r="M478" s="130"/>
      <c r="N478" s="117"/>
      <c r="O478" s="117"/>
    </row>
    <row r="479" spans="1:15" s="25" customFormat="1" ht="33.75" x14ac:dyDescent="0.2">
      <c r="A479" s="581" t="s">
        <v>277</v>
      </c>
      <c r="B479" s="582" t="s">
        <v>999</v>
      </c>
      <c r="C479" s="583" t="s">
        <v>950</v>
      </c>
      <c r="D479" s="584" t="s">
        <v>674</v>
      </c>
      <c r="E479" s="583" t="s">
        <v>281</v>
      </c>
      <c r="F479" s="585">
        <f>'MEMÓRIA DE CÁLCULO'!D176</f>
        <v>4</v>
      </c>
      <c r="G479" s="586"/>
      <c r="H479" s="587">
        <v>390.66</v>
      </c>
      <c r="I479" s="588">
        <v>52.69</v>
      </c>
      <c r="J479" s="589">
        <f>H479+I479</f>
        <v>443.35</v>
      </c>
      <c r="K479" s="587">
        <f>H479*F479</f>
        <v>1562.64</v>
      </c>
      <c r="L479" s="588">
        <f>I479*F479</f>
        <v>210.76</v>
      </c>
      <c r="M479" s="589">
        <f>K479+L479</f>
        <v>1773.4</v>
      </c>
      <c r="N479" s="585">
        <f>M479*$N$7</f>
        <v>435.54704000000004</v>
      </c>
      <c r="O479" s="585">
        <f>ROUND(M479+N479,2)</f>
        <v>2208.9499999999998</v>
      </c>
    </row>
    <row r="480" spans="1:15" s="25" customFormat="1" ht="14.25" x14ac:dyDescent="0.2">
      <c r="A480" s="166"/>
      <c r="B480" s="160"/>
      <c r="C480" s="31"/>
      <c r="D480" s="146" t="s">
        <v>288</v>
      </c>
      <c r="E480" s="32"/>
      <c r="F480" s="147"/>
      <c r="G480" s="33"/>
      <c r="H480" s="129"/>
      <c r="I480" s="29"/>
      <c r="J480" s="130"/>
      <c r="K480" s="129"/>
      <c r="L480" s="29"/>
      <c r="M480" s="130"/>
      <c r="N480" s="115"/>
      <c r="O480" s="115"/>
    </row>
    <row r="481" spans="1:15" s="25" customFormat="1" ht="22.5" x14ac:dyDescent="0.2">
      <c r="A481" s="581" t="s">
        <v>278</v>
      </c>
      <c r="B481" s="582" t="s">
        <v>886</v>
      </c>
      <c r="C481" s="583" t="s">
        <v>951</v>
      </c>
      <c r="D481" s="584" t="s">
        <v>887</v>
      </c>
      <c r="E481" s="583" t="s">
        <v>338</v>
      </c>
      <c r="F481" s="585">
        <v>3</v>
      </c>
      <c r="G481" s="586"/>
      <c r="H481" s="588">
        <f>ROUND(SUM(H482:H484),2)</f>
        <v>38.33</v>
      </c>
      <c r="I481" s="588">
        <f>ROUND(SUM(I482:I484),2)</f>
        <v>27.37</v>
      </c>
      <c r="J481" s="589">
        <f>H481+I481</f>
        <v>65.7</v>
      </c>
      <c r="K481" s="587">
        <f>H481*F481</f>
        <v>114.99</v>
      </c>
      <c r="L481" s="588">
        <f>I481*F481</f>
        <v>82.11</v>
      </c>
      <c r="M481" s="589">
        <f>K481+L481</f>
        <v>197.1</v>
      </c>
      <c r="N481" s="585">
        <f>M481*$N$7</f>
        <v>48.407760000000003</v>
      </c>
      <c r="O481" s="585">
        <f>ROUND(M481+N481,2)</f>
        <v>245.51</v>
      </c>
    </row>
    <row r="482" spans="1:15" s="25" customFormat="1" ht="14.25" x14ac:dyDescent="0.2">
      <c r="A482" s="168"/>
      <c r="B482" s="159"/>
      <c r="C482" s="34"/>
      <c r="D482" s="153" t="s">
        <v>335</v>
      </c>
      <c r="E482" s="34" t="s">
        <v>229</v>
      </c>
      <c r="F482" s="148">
        <v>1.2</v>
      </c>
      <c r="G482" s="35">
        <v>16.86</v>
      </c>
      <c r="H482" s="131"/>
      <c r="I482" s="30">
        <f>F482*G482</f>
        <v>20.231999999999999</v>
      </c>
      <c r="J482" s="132"/>
      <c r="K482" s="131"/>
      <c r="L482" s="30"/>
      <c r="M482" s="132"/>
      <c r="N482" s="117"/>
      <c r="O482" s="117"/>
    </row>
    <row r="483" spans="1:15" s="25" customFormat="1" ht="14.25" x14ac:dyDescent="0.2">
      <c r="A483" s="168"/>
      <c r="B483" s="159"/>
      <c r="C483" s="34"/>
      <c r="D483" s="153" t="s">
        <v>207</v>
      </c>
      <c r="E483" s="34" t="s">
        <v>229</v>
      </c>
      <c r="F483" s="148">
        <v>0.8</v>
      </c>
      <c r="G483" s="35">
        <v>8.92</v>
      </c>
      <c r="H483" s="131"/>
      <c r="I483" s="30">
        <f>F483*G483</f>
        <v>7.1360000000000001</v>
      </c>
      <c r="J483" s="132"/>
      <c r="K483" s="131"/>
      <c r="L483" s="30"/>
      <c r="M483" s="132"/>
      <c r="N483" s="115"/>
      <c r="O483" s="115"/>
    </row>
    <row r="484" spans="1:15" s="25" customFormat="1" ht="22.5" x14ac:dyDescent="0.2">
      <c r="A484" s="168"/>
      <c r="B484" s="159" t="s">
        <v>203</v>
      </c>
      <c r="C484" s="34"/>
      <c r="D484" s="153" t="str">
        <f>D481</f>
        <v>Tubo em alumínio quadrado - acabamentos entre a parede de gesso acartonado e a esquadria de vidro - gabinete do juíz (frente) - conforme detalhe</v>
      </c>
      <c r="E484" s="34" t="s">
        <v>338</v>
      </c>
      <c r="F484" s="148">
        <v>1</v>
      </c>
      <c r="G484" s="35">
        <v>38.33</v>
      </c>
      <c r="H484" s="131">
        <f>F484*G484</f>
        <v>38.33</v>
      </c>
      <c r="I484" s="30"/>
      <c r="J484" s="132"/>
      <c r="K484" s="131"/>
      <c r="L484" s="30"/>
      <c r="M484" s="132"/>
      <c r="N484" s="115"/>
      <c r="O484" s="115"/>
    </row>
    <row r="485" spans="1:15" s="25" customFormat="1" ht="14.25" x14ac:dyDescent="0.2">
      <c r="A485" s="168"/>
      <c r="B485" s="159"/>
      <c r="C485" s="34"/>
      <c r="D485" s="153"/>
      <c r="E485" s="34"/>
      <c r="F485" s="148"/>
      <c r="G485" s="35"/>
      <c r="H485" s="131"/>
      <c r="I485" s="30"/>
      <c r="J485" s="132"/>
      <c r="K485" s="131"/>
      <c r="L485" s="30"/>
      <c r="M485" s="132"/>
      <c r="N485" s="115"/>
      <c r="O485" s="115"/>
    </row>
    <row r="486" spans="1:15" s="25" customFormat="1" ht="15.75" x14ac:dyDescent="0.2">
      <c r="A486" s="187"/>
      <c r="B486" s="188"/>
      <c r="C486" s="189">
        <v>7</v>
      </c>
      <c r="D486" s="190" t="s">
        <v>296</v>
      </c>
      <c r="E486" s="191"/>
      <c r="F486" s="190"/>
      <c r="G486" s="191"/>
      <c r="H486" s="192"/>
      <c r="I486" s="193"/>
      <c r="J486" s="194"/>
      <c r="K486" s="192"/>
      <c r="L486" s="193"/>
      <c r="M486" s="194"/>
      <c r="N486" s="195"/>
      <c r="O486" s="196">
        <f>SUM(O488:O515)</f>
        <v>26099.74</v>
      </c>
    </row>
    <row r="487" spans="1:15" s="25" customFormat="1" ht="14.25" x14ac:dyDescent="0.2">
      <c r="A487" s="166"/>
      <c r="B487" s="160"/>
      <c r="C487" s="31"/>
      <c r="D487" s="146" t="s">
        <v>288</v>
      </c>
      <c r="E487" s="32"/>
      <c r="F487" s="147"/>
      <c r="G487" s="33"/>
      <c r="H487" s="129"/>
      <c r="I487" s="29"/>
      <c r="J487" s="130"/>
      <c r="K487" s="129"/>
      <c r="L487" s="29"/>
      <c r="M487" s="130"/>
      <c r="N487" s="115"/>
      <c r="O487" s="115"/>
    </row>
    <row r="488" spans="1:15" s="25" customFormat="1" ht="22.5" x14ac:dyDescent="0.2">
      <c r="A488" s="581" t="s">
        <v>278</v>
      </c>
      <c r="B488" s="582" t="s">
        <v>167</v>
      </c>
      <c r="C488" s="583" t="s">
        <v>187</v>
      </c>
      <c r="D488" s="584" t="s">
        <v>55</v>
      </c>
      <c r="E488" s="583" t="s">
        <v>314</v>
      </c>
      <c r="F488" s="585">
        <f>'MEMÓRIA DE CÁLCULO'!D286</f>
        <v>115</v>
      </c>
      <c r="G488" s="586"/>
      <c r="H488" s="588">
        <f>ROUND(SUM(H489:H492),2)</f>
        <v>16.489999999999998</v>
      </c>
      <c r="I488" s="588">
        <f>ROUND(SUM(I489:I492),2)</f>
        <v>10.75</v>
      </c>
      <c r="J488" s="589">
        <f>H488+I488</f>
        <v>27.24</v>
      </c>
      <c r="K488" s="587">
        <f>H488*F488</f>
        <v>1896.35</v>
      </c>
      <c r="L488" s="588">
        <f>I488*F488</f>
        <v>1236.25</v>
      </c>
      <c r="M488" s="589">
        <f>K488+L488</f>
        <v>3132.6</v>
      </c>
      <c r="N488" s="585">
        <f>M488*$N$7</f>
        <v>769.36656000000005</v>
      </c>
      <c r="O488" s="585">
        <f>ROUND(M488+N488,2)</f>
        <v>3901.97</v>
      </c>
    </row>
    <row r="489" spans="1:15" s="25" customFormat="1" ht="14.25" x14ac:dyDescent="0.2">
      <c r="A489" s="168"/>
      <c r="B489" s="159"/>
      <c r="C489" s="34"/>
      <c r="D489" s="153" t="s">
        <v>192</v>
      </c>
      <c r="E489" s="34" t="s">
        <v>307</v>
      </c>
      <c r="F489" s="148">
        <v>0.5</v>
      </c>
      <c r="G489" s="35">
        <v>8.92</v>
      </c>
      <c r="H489" s="131"/>
      <c r="I489" s="30">
        <f>F489*G489</f>
        <v>4.46</v>
      </c>
      <c r="J489" s="132"/>
      <c r="K489" s="131"/>
      <c r="L489" s="30"/>
      <c r="M489" s="132"/>
      <c r="N489" s="114"/>
      <c r="O489" s="114"/>
    </row>
    <row r="490" spans="1:15" s="25" customFormat="1" ht="14.25" x14ac:dyDescent="0.2">
      <c r="A490" s="168"/>
      <c r="B490" s="159"/>
      <c r="C490" s="34"/>
      <c r="D490" s="153" t="s">
        <v>193</v>
      </c>
      <c r="E490" s="34" t="s">
        <v>229</v>
      </c>
      <c r="F490" s="148">
        <v>0.5</v>
      </c>
      <c r="G490" s="35">
        <v>12.57</v>
      </c>
      <c r="H490" s="131"/>
      <c r="I490" s="30">
        <f>F490*G490</f>
        <v>6.2850000000000001</v>
      </c>
      <c r="J490" s="132"/>
      <c r="K490" s="131"/>
      <c r="L490" s="30"/>
      <c r="M490" s="132"/>
      <c r="N490" s="117"/>
      <c r="O490" s="117"/>
    </row>
    <row r="491" spans="1:15" s="25" customFormat="1" ht="14.25" x14ac:dyDescent="0.2">
      <c r="A491" s="168"/>
      <c r="B491" s="159"/>
      <c r="C491" s="34"/>
      <c r="D491" s="153" t="s">
        <v>356</v>
      </c>
      <c r="E491" s="34" t="s">
        <v>338</v>
      </c>
      <c r="F491" s="148">
        <v>1.03</v>
      </c>
      <c r="G491" s="35">
        <v>15.63</v>
      </c>
      <c r="H491" s="131">
        <f>F491*G491</f>
        <v>16.0989</v>
      </c>
      <c r="I491" s="30"/>
      <c r="J491" s="132"/>
      <c r="K491" s="131"/>
      <c r="L491" s="30"/>
      <c r="M491" s="132"/>
      <c r="N491" s="115"/>
      <c r="O491" s="115"/>
    </row>
    <row r="492" spans="1:15" s="25" customFormat="1" ht="14.25" x14ac:dyDescent="0.2">
      <c r="A492" s="168"/>
      <c r="B492" s="159"/>
      <c r="C492" s="34"/>
      <c r="D492" s="153" t="s">
        <v>357</v>
      </c>
      <c r="E492" s="34" t="s">
        <v>313</v>
      </c>
      <c r="F492" s="148">
        <v>7.0000000000000007E-2</v>
      </c>
      <c r="G492" s="35">
        <v>5.53</v>
      </c>
      <c r="H492" s="131">
        <f>F492*G492</f>
        <v>0.38710000000000006</v>
      </c>
      <c r="I492" s="30"/>
      <c r="J492" s="132"/>
      <c r="K492" s="131"/>
      <c r="L492" s="30"/>
      <c r="M492" s="132"/>
      <c r="N492" s="115"/>
      <c r="O492" s="115"/>
    </row>
    <row r="493" spans="1:15" s="25" customFormat="1" ht="14.25" x14ac:dyDescent="0.2">
      <c r="A493" s="166"/>
      <c r="B493" s="160"/>
      <c r="C493" s="31"/>
      <c r="D493" s="146" t="s">
        <v>288</v>
      </c>
      <c r="E493" s="32"/>
      <c r="F493" s="147"/>
      <c r="G493" s="33"/>
      <c r="H493" s="129"/>
      <c r="I493" s="29"/>
      <c r="J493" s="130"/>
      <c r="K493" s="129"/>
      <c r="L493" s="29"/>
      <c r="M493" s="130"/>
      <c r="N493" s="116"/>
      <c r="O493" s="116"/>
    </row>
    <row r="494" spans="1:15" s="25" customFormat="1" ht="14.25" x14ac:dyDescent="0.2">
      <c r="A494" s="581" t="s">
        <v>278</v>
      </c>
      <c r="B494" s="582" t="s">
        <v>168</v>
      </c>
      <c r="C494" s="583" t="s">
        <v>188</v>
      </c>
      <c r="D494" s="584" t="s">
        <v>169</v>
      </c>
      <c r="E494" s="583" t="s">
        <v>314</v>
      </c>
      <c r="F494" s="585">
        <f>'MEMÓRIA DE CÁLCULO'!D287</f>
        <v>96.8</v>
      </c>
      <c r="G494" s="586"/>
      <c r="H494" s="588">
        <f>ROUND(SUM(H495:H500),2)</f>
        <v>46.2</v>
      </c>
      <c r="I494" s="588">
        <f>ROUND(SUM(I495:I500),2)</f>
        <v>27.94</v>
      </c>
      <c r="J494" s="589">
        <f>H494+I494</f>
        <v>74.14</v>
      </c>
      <c r="K494" s="587">
        <f>H494*F494</f>
        <v>4472.16</v>
      </c>
      <c r="L494" s="588">
        <f>I494*F494</f>
        <v>2704.5920000000001</v>
      </c>
      <c r="M494" s="589">
        <f>K494+L494</f>
        <v>7176.7520000000004</v>
      </c>
      <c r="N494" s="585">
        <f>M494*$N$7</f>
        <v>1762.6102912000001</v>
      </c>
      <c r="O494" s="585">
        <f>ROUND(M494+N494,2)</f>
        <v>8939.36</v>
      </c>
    </row>
    <row r="495" spans="1:15" s="25" customFormat="1" ht="14.25" x14ac:dyDescent="0.2">
      <c r="A495" s="168"/>
      <c r="B495" s="159"/>
      <c r="C495" s="34"/>
      <c r="D495" s="153" t="s">
        <v>192</v>
      </c>
      <c r="E495" s="34" t="s">
        <v>307</v>
      </c>
      <c r="F495" s="148">
        <v>1.3</v>
      </c>
      <c r="G495" s="35">
        <v>8.92</v>
      </c>
      <c r="H495" s="131"/>
      <c r="I495" s="30">
        <f>F495*G495</f>
        <v>11.596</v>
      </c>
      <c r="J495" s="132"/>
      <c r="K495" s="131"/>
      <c r="L495" s="30"/>
      <c r="M495" s="132"/>
      <c r="N495" s="117"/>
      <c r="O495" s="117"/>
    </row>
    <row r="496" spans="1:15" s="25" customFormat="1" ht="14.25" x14ac:dyDescent="0.2">
      <c r="A496" s="168"/>
      <c r="B496" s="159"/>
      <c r="C496" s="34"/>
      <c r="D496" s="153" t="s">
        <v>193</v>
      </c>
      <c r="E496" s="34" t="s">
        <v>307</v>
      </c>
      <c r="F496" s="148">
        <v>1.3</v>
      </c>
      <c r="G496" s="35">
        <v>12.57</v>
      </c>
      <c r="H496" s="131"/>
      <c r="I496" s="30">
        <f>F496*G496</f>
        <v>16.341000000000001</v>
      </c>
      <c r="J496" s="132"/>
      <c r="K496" s="131"/>
      <c r="L496" s="30"/>
      <c r="M496" s="132"/>
      <c r="N496" s="115"/>
      <c r="O496" s="115"/>
    </row>
    <row r="497" spans="1:15" s="25" customFormat="1" ht="14.25" x14ac:dyDescent="0.2">
      <c r="A497" s="168"/>
      <c r="B497" s="159"/>
      <c r="C497" s="34"/>
      <c r="D497" s="153" t="str">
        <f>D494</f>
        <v>Calha de chapa galvanizada nº 24 desenvolvimento 50 cm</v>
      </c>
      <c r="E497" s="34" t="s">
        <v>314</v>
      </c>
      <c r="F497" s="148">
        <v>1.03</v>
      </c>
      <c r="G497" s="35">
        <v>42.99</v>
      </c>
      <c r="H497" s="131">
        <f>F497*G497</f>
        <v>44.279700000000005</v>
      </c>
      <c r="I497" s="30"/>
      <c r="J497" s="132"/>
      <c r="K497" s="131"/>
      <c r="L497" s="30"/>
      <c r="M497" s="132"/>
      <c r="N497" s="115"/>
      <c r="O497" s="115"/>
    </row>
    <row r="498" spans="1:15" s="25" customFormat="1" ht="14.25" x14ac:dyDescent="0.2">
      <c r="A498" s="168"/>
      <c r="B498" s="159"/>
      <c r="C498" s="34"/>
      <c r="D498" s="153" t="s">
        <v>279</v>
      </c>
      <c r="E498" s="34" t="s">
        <v>313</v>
      </c>
      <c r="F498" s="148">
        <v>0.09</v>
      </c>
      <c r="G498" s="35">
        <v>5.53</v>
      </c>
      <c r="H498" s="131">
        <f>F498*G498</f>
        <v>0.49770000000000003</v>
      </c>
      <c r="I498" s="30"/>
      <c r="J498" s="132"/>
      <c r="K498" s="131"/>
      <c r="L498" s="30"/>
      <c r="M498" s="132"/>
      <c r="N498" s="115"/>
      <c r="O498" s="115"/>
    </row>
    <row r="499" spans="1:15" s="25" customFormat="1" ht="14.25" x14ac:dyDescent="0.2">
      <c r="A499" s="168"/>
      <c r="B499" s="159"/>
      <c r="C499" s="34"/>
      <c r="D499" s="153" t="s">
        <v>194</v>
      </c>
      <c r="E499" s="34" t="s">
        <v>313</v>
      </c>
      <c r="F499" s="148">
        <v>0.04</v>
      </c>
      <c r="G499" s="35">
        <v>13.79</v>
      </c>
      <c r="H499" s="131">
        <f>F499*G499</f>
        <v>0.55159999999999998</v>
      </c>
      <c r="I499" s="30"/>
      <c r="J499" s="132"/>
      <c r="K499" s="131"/>
      <c r="L499" s="30"/>
      <c r="M499" s="132"/>
      <c r="N499" s="114"/>
      <c r="O499" s="114"/>
    </row>
    <row r="500" spans="1:15" s="27" customFormat="1" x14ac:dyDescent="0.2">
      <c r="A500" s="168"/>
      <c r="B500" s="159"/>
      <c r="C500" s="34"/>
      <c r="D500" s="153" t="s">
        <v>195</v>
      </c>
      <c r="E500" s="34" t="s">
        <v>313</v>
      </c>
      <c r="F500" s="148">
        <v>0.04</v>
      </c>
      <c r="G500" s="35">
        <v>21.65</v>
      </c>
      <c r="H500" s="131">
        <f>F500*G500</f>
        <v>0.86599999999999999</v>
      </c>
      <c r="I500" s="30"/>
      <c r="J500" s="132"/>
      <c r="K500" s="131"/>
      <c r="L500" s="30"/>
      <c r="M500" s="132"/>
      <c r="N500" s="114"/>
      <c r="O500" s="114"/>
    </row>
    <row r="501" spans="1:15" s="25" customFormat="1" ht="14.25" x14ac:dyDescent="0.2">
      <c r="A501" s="166"/>
      <c r="B501" s="160"/>
      <c r="C501" s="31"/>
      <c r="D501" s="146" t="s">
        <v>288</v>
      </c>
      <c r="E501" s="32"/>
      <c r="F501" s="147"/>
      <c r="G501" s="33"/>
      <c r="H501" s="129"/>
      <c r="I501" s="29"/>
      <c r="J501" s="130"/>
      <c r="K501" s="129"/>
      <c r="L501" s="29"/>
      <c r="M501" s="130"/>
      <c r="N501" s="115"/>
      <c r="O501" s="115"/>
    </row>
    <row r="502" spans="1:15" s="25" customFormat="1" ht="22.5" x14ac:dyDescent="0.2">
      <c r="A502" s="581" t="s">
        <v>278</v>
      </c>
      <c r="B502" s="582" t="s">
        <v>167</v>
      </c>
      <c r="C502" s="583" t="s">
        <v>952</v>
      </c>
      <c r="D502" s="584" t="s">
        <v>56</v>
      </c>
      <c r="E502" s="583" t="s">
        <v>314</v>
      </c>
      <c r="F502" s="585">
        <v>22.5</v>
      </c>
      <c r="G502" s="586"/>
      <c r="H502" s="588">
        <f>ROUND(SUM(H503:H506),2)</f>
        <v>16.489999999999998</v>
      </c>
      <c r="I502" s="588">
        <f>ROUND(SUM(I503:I506),2)</f>
        <v>10.75</v>
      </c>
      <c r="J502" s="589">
        <f>H502+I502</f>
        <v>27.24</v>
      </c>
      <c r="K502" s="587">
        <f>H502*F502</f>
        <v>371.02499999999998</v>
      </c>
      <c r="L502" s="588">
        <f>I502*F502</f>
        <v>241.875</v>
      </c>
      <c r="M502" s="589">
        <f>K502+L502</f>
        <v>612.9</v>
      </c>
      <c r="N502" s="585">
        <f>M502*$N$7</f>
        <v>150.52824000000001</v>
      </c>
      <c r="O502" s="585">
        <f>ROUND(M502+N502,2)</f>
        <v>763.43</v>
      </c>
    </row>
    <row r="503" spans="1:15" s="25" customFormat="1" ht="14.25" x14ac:dyDescent="0.2">
      <c r="A503" s="168"/>
      <c r="B503" s="159"/>
      <c r="C503" s="34"/>
      <c r="D503" s="153" t="s">
        <v>192</v>
      </c>
      <c r="E503" s="34" t="s">
        <v>307</v>
      </c>
      <c r="F503" s="148">
        <v>0.5</v>
      </c>
      <c r="G503" s="35">
        <v>8.92</v>
      </c>
      <c r="H503" s="131"/>
      <c r="I503" s="30">
        <f>F503*G503</f>
        <v>4.46</v>
      </c>
      <c r="J503" s="132"/>
      <c r="K503" s="131"/>
      <c r="L503" s="30"/>
      <c r="M503" s="132"/>
      <c r="N503" s="114"/>
      <c r="O503" s="114"/>
    </row>
    <row r="504" spans="1:15" s="25" customFormat="1" ht="14.25" x14ac:dyDescent="0.2">
      <c r="A504" s="168"/>
      <c r="B504" s="159"/>
      <c r="C504" s="34"/>
      <c r="D504" s="153" t="s">
        <v>193</v>
      </c>
      <c r="E504" s="34" t="s">
        <v>229</v>
      </c>
      <c r="F504" s="148">
        <v>0.5</v>
      </c>
      <c r="G504" s="35">
        <v>12.57</v>
      </c>
      <c r="H504" s="131"/>
      <c r="I504" s="30">
        <f>F504*G504</f>
        <v>6.2850000000000001</v>
      </c>
      <c r="J504" s="132"/>
      <c r="K504" s="131"/>
      <c r="L504" s="30"/>
      <c r="M504" s="132"/>
      <c r="N504" s="117"/>
      <c r="O504" s="117"/>
    </row>
    <row r="505" spans="1:15" s="25" customFormat="1" ht="14.25" x14ac:dyDescent="0.2">
      <c r="A505" s="168"/>
      <c r="B505" s="159"/>
      <c r="C505" s="34"/>
      <c r="D505" s="153" t="s">
        <v>356</v>
      </c>
      <c r="E505" s="34" t="s">
        <v>338</v>
      </c>
      <c r="F505" s="148">
        <v>1.03</v>
      </c>
      <c r="G505" s="35">
        <v>15.63</v>
      </c>
      <c r="H505" s="131">
        <f>F505*G505</f>
        <v>16.0989</v>
      </c>
      <c r="I505" s="30"/>
      <c r="J505" s="132"/>
      <c r="K505" s="131"/>
      <c r="L505" s="30"/>
      <c r="M505" s="132"/>
      <c r="N505" s="115"/>
      <c r="O505" s="115"/>
    </row>
    <row r="506" spans="1:15" s="25" customFormat="1" ht="14.25" x14ac:dyDescent="0.2">
      <c r="A506" s="168"/>
      <c r="B506" s="159"/>
      <c r="C506" s="34"/>
      <c r="D506" s="153" t="s">
        <v>357</v>
      </c>
      <c r="E506" s="34" t="s">
        <v>313</v>
      </c>
      <c r="F506" s="148">
        <v>7.0000000000000007E-2</v>
      </c>
      <c r="G506" s="35">
        <v>5.53</v>
      </c>
      <c r="H506" s="131">
        <f>F506*G506</f>
        <v>0.38710000000000006</v>
      </c>
      <c r="I506" s="30"/>
      <c r="J506" s="132"/>
      <c r="K506" s="131"/>
      <c r="L506" s="30"/>
      <c r="M506" s="132"/>
      <c r="N506" s="115"/>
      <c r="O506" s="115"/>
    </row>
    <row r="507" spans="1:15" s="25" customFormat="1" ht="14.25" x14ac:dyDescent="0.2">
      <c r="A507" s="166"/>
      <c r="B507" s="160"/>
      <c r="C507" s="31"/>
      <c r="D507" s="146" t="s">
        <v>288</v>
      </c>
      <c r="E507" s="32"/>
      <c r="F507" s="147"/>
      <c r="G507" s="33"/>
      <c r="H507" s="129"/>
      <c r="I507" s="29"/>
      <c r="J507" s="130"/>
      <c r="K507" s="129"/>
      <c r="L507" s="29"/>
      <c r="M507" s="130"/>
      <c r="N507" s="116"/>
      <c r="O507" s="116"/>
    </row>
    <row r="508" spans="1:15" s="25" customFormat="1" ht="45" x14ac:dyDescent="0.2">
      <c r="A508" s="581" t="s">
        <v>277</v>
      </c>
      <c r="B508" s="582" t="s">
        <v>72</v>
      </c>
      <c r="C508" s="583" t="s">
        <v>953</v>
      </c>
      <c r="D508" s="584" t="s">
        <v>73</v>
      </c>
      <c r="E508" s="583" t="s">
        <v>310</v>
      </c>
      <c r="F508" s="585">
        <v>85</v>
      </c>
      <c r="G508" s="586"/>
      <c r="H508" s="587">
        <v>46.54</v>
      </c>
      <c r="I508" s="588">
        <v>23.59</v>
      </c>
      <c r="J508" s="589">
        <f>H508+I508</f>
        <v>70.13</v>
      </c>
      <c r="K508" s="587">
        <f>H508*F508</f>
        <v>3955.9</v>
      </c>
      <c r="L508" s="588">
        <f>I508*F508</f>
        <v>2005.15</v>
      </c>
      <c r="M508" s="589">
        <f>K508+L508</f>
        <v>5961.05</v>
      </c>
      <c r="N508" s="585">
        <f>M508*$N$7</f>
        <v>1464.0338800000002</v>
      </c>
      <c r="O508" s="585">
        <f>ROUND(M508+N508,2)</f>
        <v>7425.08</v>
      </c>
    </row>
    <row r="509" spans="1:15" s="25" customFormat="1" ht="14.25" x14ac:dyDescent="0.2">
      <c r="A509" s="166"/>
      <c r="B509" s="160"/>
      <c r="C509" s="31"/>
      <c r="D509" s="146" t="s">
        <v>288</v>
      </c>
      <c r="E509" s="32"/>
      <c r="F509" s="147"/>
      <c r="G509" s="33"/>
      <c r="H509" s="129"/>
      <c r="I509" s="29"/>
      <c r="J509" s="130"/>
      <c r="K509" s="129"/>
      <c r="L509" s="29"/>
      <c r="M509" s="130"/>
      <c r="N509" s="115"/>
      <c r="O509" s="115"/>
    </row>
    <row r="510" spans="1:15" s="25" customFormat="1" ht="45" x14ac:dyDescent="0.2">
      <c r="A510" s="581" t="s">
        <v>203</v>
      </c>
      <c r="B510" s="582"/>
      <c r="C510" s="583" t="s">
        <v>954</v>
      </c>
      <c r="D510" s="584" t="s">
        <v>1039</v>
      </c>
      <c r="E510" s="583" t="s">
        <v>253</v>
      </c>
      <c r="F510" s="585">
        <f>4.5*1.25</f>
        <v>5.625</v>
      </c>
      <c r="G510" s="586"/>
      <c r="H510" s="588">
        <f>ROUND(SUM(H511),2)</f>
        <v>402</v>
      </c>
      <c r="I510" s="588">
        <f>ROUND(SUM(I511),2)</f>
        <v>0</v>
      </c>
      <c r="J510" s="589">
        <f>H510+I510</f>
        <v>402</v>
      </c>
      <c r="K510" s="587">
        <f>H510*F510</f>
        <v>2261.25</v>
      </c>
      <c r="L510" s="588">
        <f>I510*F510</f>
        <v>0</v>
      </c>
      <c r="M510" s="589">
        <f>K510+L510</f>
        <v>2261.25</v>
      </c>
      <c r="N510" s="585">
        <f>M510*$N$7</f>
        <v>555.36300000000006</v>
      </c>
      <c r="O510" s="585">
        <f>ROUND(M510+N510,2)</f>
        <v>2816.61</v>
      </c>
    </row>
    <row r="511" spans="1:15" s="25" customFormat="1" ht="21.75" customHeight="1" x14ac:dyDescent="0.2">
      <c r="A511" s="168"/>
      <c r="B511" s="159"/>
      <c r="C511" s="34"/>
      <c r="D511" s="153" t="str">
        <f>D510</f>
        <v>Cobertura com telha de policarbonato alveolar,  e = 6 mm, 4,50 X 1,25 m translucido e  Metalões industriais galvanizados 30x50mm chapa 1,25mm com pintura da estrutura em esmalte sintético cor a escolher;  acessórios em alumínio; instalado com acessórios de fixação e vedação - PORTA DOS FUNDOS</v>
      </c>
      <c r="E511" s="34" t="str">
        <f>E510</f>
        <v>m²</v>
      </c>
      <c r="F511" s="148">
        <v>1</v>
      </c>
      <c r="G511" s="35">
        <v>402</v>
      </c>
      <c r="H511" s="131">
        <f>F511*G511</f>
        <v>402</v>
      </c>
      <c r="I511" s="30"/>
      <c r="J511" s="132"/>
      <c r="K511" s="131"/>
      <c r="L511" s="30"/>
      <c r="M511" s="132"/>
      <c r="N511" s="115"/>
      <c r="O511" s="115"/>
    </row>
    <row r="512" spans="1:15" s="25" customFormat="1" ht="14.25" x14ac:dyDescent="0.2">
      <c r="A512" s="166"/>
      <c r="B512" s="160"/>
      <c r="C512" s="31"/>
      <c r="D512" s="146" t="s">
        <v>288</v>
      </c>
      <c r="E512" s="32"/>
      <c r="F512" s="147"/>
      <c r="G512" s="33"/>
      <c r="H512" s="129"/>
      <c r="I512" s="29"/>
      <c r="J512" s="130"/>
      <c r="K512" s="129"/>
      <c r="L512" s="29"/>
      <c r="M512" s="130"/>
      <c r="N512" s="116"/>
      <c r="O512" s="116"/>
    </row>
    <row r="513" spans="1:15" s="25" customFormat="1" ht="45" x14ac:dyDescent="0.2">
      <c r="A513" s="581" t="s">
        <v>203</v>
      </c>
      <c r="B513" s="582"/>
      <c r="C513" s="583" t="s">
        <v>955</v>
      </c>
      <c r="D513" s="584" t="s">
        <v>1040</v>
      </c>
      <c r="E513" s="583" t="s">
        <v>253</v>
      </c>
      <c r="F513" s="585">
        <f>1*4.5</f>
        <v>4.5</v>
      </c>
      <c r="G513" s="586"/>
      <c r="H513" s="588">
        <f>ROUND(SUM(H514),2)</f>
        <v>402</v>
      </c>
      <c r="I513" s="588">
        <f>ROUND(SUM(I514),2)</f>
        <v>0</v>
      </c>
      <c r="J513" s="589">
        <f>H513+I513</f>
        <v>402</v>
      </c>
      <c r="K513" s="587">
        <f>H513*F513</f>
        <v>1809</v>
      </c>
      <c r="L513" s="588">
        <f>I513*F513</f>
        <v>0</v>
      </c>
      <c r="M513" s="589">
        <f>K513+L513</f>
        <v>1809</v>
      </c>
      <c r="N513" s="585">
        <f>M513*$N$7</f>
        <v>444.29040000000003</v>
      </c>
      <c r="O513" s="585">
        <f>ROUND(M513+N513,2)</f>
        <v>2253.29</v>
      </c>
    </row>
    <row r="514" spans="1:15" s="25" customFormat="1" ht="21.75" customHeight="1" x14ac:dyDescent="0.2">
      <c r="A514" s="168"/>
      <c r="B514" s="159"/>
      <c r="C514" s="34"/>
      <c r="D514" s="153" t="str">
        <f>D513</f>
        <v>Cobertura com telha de policarbonato alveolar,  e = 6 mm, 4,50 X 1,00 m translucido e  Metalões industriais galvanizados 30x50mm chapa 1,25mm com pintura da estrutura em esmalte sintético cor a escolher;  acessórios em alumínio; instalado com acessórios de fixação e vedação - PORTAS DUPLAS NA LATERAL</v>
      </c>
      <c r="E514" s="34" t="str">
        <f>E513</f>
        <v>m²</v>
      </c>
      <c r="F514" s="148">
        <v>1</v>
      </c>
      <c r="G514" s="35">
        <v>402</v>
      </c>
      <c r="H514" s="131">
        <f>F514*G514</f>
        <v>402</v>
      </c>
      <c r="I514" s="30"/>
      <c r="J514" s="132"/>
      <c r="K514" s="131"/>
      <c r="L514" s="30"/>
      <c r="M514" s="132"/>
      <c r="N514" s="115"/>
      <c r="O514" s="115"/>
    </row>
    <row r="515" spans="1:15" s="25" customFormat="1" ht="14.25" x14ac:dyDescent="0.2">
      <c r="A515" s="166"/>
      <c r="B515" s="160"/>
      <c r="C515" s="31"/>
      <c r="D515" s="146" t="s">
        <v>288</v>
      </c>
      <c r="E515" s="32"/>
      <c r="F515" s="147"/>
      <c r="G515" s="33"/>
      <c r="H515" s="129"/>
      <c r="I515" s="29"/>
      <c r="J515" s="130"/>
      <c r="K515" s="129"/>
      <c r="L515" s="29"/>
      <c r="M515" s="130"/>
      <c r="N515" s="116"/>
      <c r="O515" s="116"/>
    </row>
    <row r="516" spans="1:15" s="25" customFormat="1" ht="15.75" x14ac:dyDescent="0.2">
      <c r="A516" s="187"/>
      <c r="B516" s="188"/>
      <c r="C516" s="189">
        <v>8</v>
      </c>
      <c r="D516" s="190" t="s">
        <v>297</v>
      </c>
      <c r="E516" s="191"/>
      <c r="F516" s="190"/>
      <c r="G516" s="191"/>
      <c r="H516" s="192"/>
      <c r="I516" s="193"/>
      <c r="J516" s="194"/>
      <c r="K516" s="192"/>
      <c r="L516" s="193"/>
      <c r="M516" s="194"/>
      <c r="N516" s="195"/>
      <c r="O516" s="196">
        <f>SUM(O520:O528)</f>
        <v>18288.919999999998</v>
      </c>
    </row>
    <row r="517" spans="1:15" s="25" customFormat="1" ht="14.25" x14ac:dyDescent="0.2">
      <c r="A517" s="166"/>
      <c r="B517" s="160"/>
      <c r="C517" s="31"/>
      <c r="D517" s="146" t="s">
        <v>288</v>
      </c>
      <c r="E517" s="32"/>
      <c r="F517" s="147"/>
      <c r="G517" s="33"/>
      <c r="H517" s="129"/>
      <c r="I517" s="29"/>
      <c r="J517" s="130"/>
      <c r="K517" s="129"/>
      <c r="L517" s="29"/>
      <c r="M517" s="130"/>
      <c r="N517" s="114"/>
      <c r="O517" s="114"/>
    </row>
    <row r="518" spans="1:15" s="356" customFormat="1" ht="22.5" x14ac:dyDescent="0.2">
      <c r="A518" s="402"/>
      <c r="B518" s="403"/>
      <c r="C518" s="404"/>
      <c r="D518" s="405" t="s">
        <v>516</v>
      </c>
      <c r="E518" s="406"/>
      <c r="F518" s="407"/>
      <c r="G518" s="408"/>
      <c r="H518" s="409"/>
      <c r="I518" s="410"/>
      <c r="J518" s="411"/>
      <c r="K518" s="409"/>
      <c r="L518" s="410"/>
      <c r="M518" s="411"/>
      <c r="N518" s="412"/>
      <c r="O518" s="412"/>
    </row>
    <row r="519" spans="1:15" s="25" customFormat="1" ht="14.25" x14ac:dyDescent="0.2">
      <c r="A519" s="166"/>
      <c r="B519" s="160"/>
      <c r="C519" s="31"/>
      <c r="D519" s="146" t="s">
        <v>288</v>
      </c>
      <c r="E519" s="32"/>
      <c r="F519" s="147"/>
      <c r="G519" s="33"/>
      <c r="H519" s="129"/>
      <c r="I519" s="29"/>
      <c r="J519" s="130"/>
      <c r="K519" s="129"/>
      <c r="L519" s="29"/>
      <c r="M519" s="130"/>
      <c r="N519" s="115"/>
      <c r="O519" s="115"/>
    </row>
    <row r="520" spans="1:15" s="25" customFormat="1" ht="45" x14ac:dyDescent="0.2">
      <c r="A520" s="581" t="s">
        <v>278</v>
      </c>
      <c r="B520" s="591">
        <v>10006000009</v>
      </c>
      <c r="C520" s="583" t="s">
        <v>196</v>
      </c>
      <c r="D520" s="584" t="s">
        <v>1005</v>
      </c>
      <c r="E520" s="583" t="s">
        <v>183</v>
      </c>
      <c r="F520" s="585">
        <f>'MEMÓRIA DE CÁLCULO'!D125</f>
        <v>139.19999999999999</v>
      </c>
      <c r="G520" s="586"/>
      <c r="H520" s="588">
        <f>ROUND(SUM(H521:H524),2)</f>
        <v>8.2899999999999991</v>
      </c>
      <c r="I520" s="588">
        <f>ROUND(SUM(I521:I524),2)</f>
        <v>2.23</v>
      </c>
      <c r="J520" s="589">
        <f>H520+I520</f>
        <v>10.52</v>
      </c>
      <c r="K520" s="587">
        <f>H520*F520</f>
        <v>1153.9679999999998</v>
      </c>
      <c r="L520" s="588">
        <f>I520*F520</f>
        <v>310.416</v>
      </c>
      <c r="M520" s="589">
        <f>K520+L520</f>
        <v>1464.3839999999998</v>
      </c>
      <c r="N520" s="585">
        <f>M520*$N$7</f>
        <v>359.65271039999999</v>
      </c>
      <c r="O520" s="585">
        <f>ROUND(M520+N520,2)</f>
        <v>1824.04</v>
      </c>
    </row>
    <row r="521" spans="1:15" s="356" customFormat="1" ht="11.25" x14ac:dyDescent="0.2">
      <c r="A521" s="357"/>
      <c r="B521" s="159"/>
      <c r="C521" s="34"/>
      <c r="D521" s="153" t="s">
        <v>207</v>
      </c>
      <c r="E521" s="34" t="s">
        <v>229</v>
      </c>
      <c r="F521" s="148">
        <v>0.25</v>
      </c>
      <c r="G521" s="35">
        <v>8.92</v>
      </c>
      <c r="H521" s="131"/>
      <c r="I521" s="30">
        <f>F521*G521</f>
        <v>2.23</v>
      </c>
      <c r="J521" s="132"/>
      <c r="K521" s="131"/>
      <c r="L521" s="30"/>
      <c r="M521" s="132"/>
      <c r="N521" s="115"/>
      <c r="O521" s="358"/>
    </row>
    <row r="522" spans="1:15" s="356" customFormat="1" ht="11.25" x14ac:dyDescent="0.2">
      <c r="A522" s="357"/>
      <c r="B522" s="159"/>
      <c r="C522" s="34"/>
      <c r="D522" s="153" t="s">
        <v>1006</v>
      </c>
      <c r="E522" s="34" t="s">
        <v>1009</v>
      </c>
      <c r="F522" s="148">
        <v>2.2440000000000002E-2</v>
      </c>
      <c r="G522" s="35">
        <v>54.27</v>
      </c>
      <c r="H522" s="131">
        <f>F522*G522</f>
        <v>1.2178188000000001</v>
      </c>
      <c r="I522" s="30"/>
      <c r="J522" s="132"/>
      <c r="K522" s="131"/>
      <c r="L522" s="30"/>
      <c r="M522" s="132"/>
      <c r="N522" s="115"/>
      <c r="O522" s="358"/>
    </row>
    <row r="523" spans="1:15" s="356" customFormat="1" ht="11.25" x14ac:dyDescent="0.2">
      <c r="A523" s="357"/>
      <c r="B523" s="159"/>
      <c r="C523" s="34"/>
      <c r="D523" s="153" t="s">
        <v>1007</v>
      </c>
      <c r="E523" s="34" t="s">
        <v>237</v>
      </c>
      <c r="F523" s="148">
        <v>7.3</v>
      </c>
      <c r="G523" s="35">
        <v>0.44</v>
      </c>
      <c r="H523" s="131">
        <f>F523*G523</f>
        <v>3.2119999999999997</v>
      </c>
      <c r="I523" s="30"/>
      <c r="J523" s="132"/>
      <c r="K523" s="131"/>
      <c r="L523" s="30"/>
      <c r="M523" s="132"/>
      <c r="N523" s="115"/>
      <c r="O523" s="358"/>
    </row>
    <row r="524" spans="1:15" s="356" customFormat="1" ht="11.25" x14ac:dyDescent="0.2">
      <c r="A524" s="357"/>
      <c r="B524" s="159"/>
      <c r="C524" s="34"/>
      <c r="D524" s="153" t="s">
        <v>1008</v>
      </c>
      <c r="E524" s="34" t="s">
        <v>1010</v>
      </c>
      <c r="F524" s="148">
        <v>0.8</v>
      </c>
      <c r="G524" s="35">
        <v>4.83</v>
      </c>
      <c r="H524" s="131">
        <f>F524*G524</f>
        <v>3.8640000000000003</v>
      </c>
      <c r="I524" s="30"/>
      <c r="J524" s="132"/>
      <c r="K524" s="131"/>
      <c r="L524" s="30"/>
      <c r="M524" s="132"/>
      <c r="N524" s="115"/>
      <c r="O524" s="358"/>
    </row>
    <row r="525" spans="1:15" s="356" customFormat="1" ht="11.25" x14ac:dyDescent="0.2">
      <c r="A525" s="359"/>
      <c r="B525" s="160"/>
      <c r="C525" s="31"/>
      <c r="D525" s="146" t="s">
        <v>288</v>
      </c>
      <c r="E525" s="32"/>
      <c r="F525" s="147"/>
      <c r="G525" s="33"/>
      <c r="H525" s="129"/>
      <c r="I525" s="29"/>
      <c r="J525" s="130"/>
      <c r="K525" s="129"/>
      <c r="L525" s="29"/>
      <c r="M525" s="130"/>
      <c r="N525" s="115"/>
      <c r="O525" s="358"/>
    </row>
    <row r="526" spans="1:15" s="25" customFormat="1" ht="22.5" x14ac:dyDescent="0.2">
      <c r="A526" s="581" t="s">
        <v>277</v>
      </c>
      <c r="B526" s="582" t="s">
        <v>513</v>
      </c>
      <c r="C526" s="583" t="s">
        <v>675</v>
      </c>
      <c r="D526" s="584" t="s">
        <v>1003</v>
      </c>
      <c r="E526" s="583" t="s">
        <v>310</v>
      </c>
      <c r="F526" s="585">
        <f>'MEMÓRIA DE CÁLCULO'!D125</f>
        <v>139.19999999999999</v>
      </c>
      <c r="G526" s="586"/>
      <c r="H526" s="587">
        <v>59.04</v>
      </c>
      <c r="I526" s="588">
        <v>8.2100000000000009</v>
      </c>
      <c r="J526" s="589">
        <f>H526+I526</f>
        <v>67.25</v>
      </c>
      <c r="K526" s="587">
        <f>H526*F526</f>
        <v>8218.3679999999986</v>
      </c>
      <c r="L526" s="588">
        <f>I526*F526</f>
        <v>1142.8320000000001</v>
      </c>
      <c r="M526" s="589">
        <f>K526+L526</f>
        <v>9361.1999999999989</v>
      </c>
      <c r="N526" s="585">
        <f>M526*$N$7</f>
        <v>2299.1107199999997</v>
      </c>
      <c r="O526" s="585">
        <f>ROUND(M526+N526,2)</f>
        <v>11660.31</v>
      </c>
    </row>
    <row r="527" spans="1:15" s="25" customFormat="1" ht="14.25" x14ac:dyDescent="0.2">
      <c r="A527" s="166"/>
      <c r="B527" s="160"/>
      <c r="C527" s="31"/>
      <c r="D527" s="146" t="s">
        <v>288</v>
      </c>
      <c r="E527" s="32"/>
      <c r="F527" s="147"/>
      <c r="G527" s="33"/>
      <c r="H527" s="129"/>
      <c r="I527" s="29"/>
      <c r="J527" s="130"/>
      <c r="K527" s="129"/>
      <c r="L527" s="29"/>
      <c r="M527" s="130"/>
      <c r="N527" s="115"/>
      <c r="O527" s="115"/>
    </row>
    <row r="528" spans="1:15" s="25" customFormat="1" ht="22.5" x14ac:dyDescent="0.2">
      <c r="A528" s="581" t="s">
        <v>277</v>
      </c>
      <c r="B528" s="582">
        <v>83744</v>
      </c>
      <c r="C528" s="583" t="s">
        <v>676</v>
      </c>
      <c r="D528" s="584" t="s">
        <v>1004</v>
      </c>
      <c r="E528" s="583" t="s">
        <v>310</v>
      </c>
      <c r="F528" s="585">
        <f>'MEMÓRIA DE CÁLCULO'!D125</f>
        <v>139.19999999999999</v>
      </c>
      <c r="G528" s="586"/>
      <c r="H528" s="587">
        <v>24.73</v>
      </c>
      <c r="I528" s="588">
        <v>2.98</v>
      </c>
      <c r="J528" s="589">
        <f>H528+I528</f>
        <v>27.71</v>
      </c>
      <c r="K528" s="587">
        <f>H528*F528</f>
        <v>3442.4159999999997</v>
      </c>
      <c r="L528" s="588">
        <f>I528*F528</f>
        <v>414.81599999999997</v>
      </c>
      <c r="M528" s="589">
        <f>K528+L528</f>
        <v>3857.2319999999995</v>
      </c>
      <c r="N528" s="585">
        <f>M528*$N$7</f>
        <v>947.33617919999995</v>
      </c>
      <c r="O528" s="585">
        <f>ROUND(M528+N528,2)</f>
        <v>4804.57</v>
      </c>
    </row>
    <row r="529" spans="1:15" s="25" customFormat="1" ht="14.25" x14ac:dyDescent="0.2">
      <c r="A529" s="166"/>
      <c r="B529" s="160"/>
      <c r="C529" s="31"/>
      <c r="D529" s="146" t="s">
        <v>288</v>
      </c>
      <c r="E529" s="32"/>
      <c r="F529" s="147"/>
      <c r="G529" s="33"/>
      <c r="H529" s="129"/>
      <c r="I529" s="29"/>
      <c r="J529" s="130"/>
      <c r="K529" s="129"/>
      <c r="L529" s="29"/>
      <c r="M529" s="130"/>
      <c r="N529" s="115"/>
      <c r="O529" s="115"/>
    </row>
    <row r="530" spans="1:15" s="25" customFormat="1" ht="15.75" x14ac:dyDescent="0.2">
      <c r="A530" s="187"/>
      <c r="B530" s="188"/>
      <c r="C530" s="189">
        <v>9</v>
      </c>
      <c r="D530" s="190" t="s">
        <v>323</v>
      </c>
      <c r="E530" s="191"/>
      <c r="F530" s="190"/>
      <c r="G530" s="191"/>
      <c r="H530" s="192"/>
      <c r="I530" s="193"/>
      <c r="J530" s="194"/>
      <c r="K530" s="192"/>
      <c r="L530" s="193"/>
      <c r="M530" s="194"/>
      <c r="N530" s="195"/>
      <c r="O530" s="196">
        <f>SUM(O534:O546)</f>
        <v>80339.95</v>
      </c>
    </row>
    <row r="531" spans="1:15" s="25" customFormat="1" ht="14.25" x14ac:dyDescent="0.2">
      <c r="A531" s="166"/>
      <c r="B531" s="160"/>
      <c r="C531" s="31"/>
      <c r="D531" s="146" t="s">
        <v>288</v>
      </c>
      <c r="E531" s="32"/>
      <c r="F531" s="147"/>
      <c r="G531" s="33"/>
      <c r="H531" s="129"/>
      <c r="I531" s="29"/>
      <c r="J531" s="130"/>
      <c r="K531" s="129"/>
      <c r="L531" s="29"/>
      <c r="M531" s="130"/>
      <c r="N531" s="115"/>
      <c r="O531" s="115"/>
    </row>
    <row r="532" spans="1:15" s="356" customFormat="1" ht="11.25" x14ac:dyDescent="0.2">
      <c r="A532" s="402"/>
      <c r="B532" s="403"/>
      <c r="C532" s="404"/>
      <c r="D532" s="405" t="s">
        <v>435</v>
      </c>
      <c r="E532" s="406"/>
      <c r="F532" s="407"/>
      <c r="G532" s="408"/>
      <c r="H532" s="409"/>
      <c r="I532" s="410"/>
      <c r="J532" s="411"/>
      <c r="K532" s="409"/>
      <c r="L532" s="410"/>
      <c r="M532" s="411"/>
      <c r="N532" s="412"/>
      <c r="O532" s="412"/>
    </row>
    <row r="533" spans="1:15" s="25" customFormat="1" ht="14.25" x14ac:dyDescent="0.2">
      <c r="A533" s="166"/>
      <c r="B533" s="160"/>
      <c r="C533" s="31"/>
      <c r="D533" s="146" t="s">
        <v>288</v>
      </c>
      <c r="E533" s="32"/>
      <c r="F533" s="147"/>
      <c r="G533" s="33"/>
      <c r="H533" s="129"/>
      <c r="I533" s="29"/>
      <c r="J533" s="130"/>
      <c r="K533" s="129"/>
      <c r="L533" s="29"/>
      <c r="M533" s="130"/>
      <c r="N533" s="115"/>
      <c r="O533" s="115"/>
    </row>
    <row r="534" spans="1:15" s="25" customFormat="1" ht="45" x14ac:dyDescent="0.2">
      <c r="A534" s="581"/>
      <c r="B534" s="582" t="s">
        <v>203</v>
      </c>
      <c r="C534" s="583" t="s">
        <v>191</v>
      </c>
      <c r="D534" s="584" t="s">
        <v>129</v>
      </c>
      <c r="E534" s="583" t="s">
        <v>310</v>
      </c>
      <c r="F534" s="585">
        <f>'MEMÓRIA DE CÁLCULO'!H59</f>
        <v>437.43</v>
      </c>
      <c r="G534" s="586"/>
      <c r="H534" s="588">
        <f>ROUND(SUM(H535),2)</f>
        <v>49.5</v>
      </c>
      <c r="I534" s="588">
        <f>ROUND(SUM(I535),2)</f>
        <v>0</v>
      </c>
      <c r="J534" s="589">
        <f>H534+I534</f>
        <v>49.5</v>
      </c>
      <c r="K534" s="587">
        <f>H534*F534</f>
        <v>21652.785</v>
      </c>
      <c r="L534" s="588">
        <f>I534*F534</f>
        <v>0</v>
      </c>
      <c r="M534" s="589">
        <f>K534+L534</f>
        <v>21652.785</v>
      </c>
      <c r="N534" s="585">
        <f>M534*$N$7</f>
        <v>5317.9239960000004</v>
      </c>
      <c r="O534" s="585">
        <f>ROUND(M534+N534,2)</f>
        <v>26970.71</v>
      </c>
    </row>
    <row r="535" spans="1:15" s="27" customFormat="1" ht="45" x14ac:dyDescent="0.2">
      <c r="A535" s="168"/>
      <c r="B535" s="149"/>
      <c r="C535" s="152"/>
      <c r="D535" s="153" t="str">
        <f>D534</f>
        <v>FORRO DE GESSO ACARTONADO REMOVÍVEL, com película vinílica branca, apoiados em perfis metálicos tipo "T" suspensos por pendurais rígidos (comprimento: 0,65 m / espessura: 9,0 mm / largura: 0,65 m) - instalado, inclusive acabamentos de borda e acessórios.</v>
      </c>
      <c r="E535" s="35" t="s">
        <v>310</v>
      </c>
      <c r="F535" s="148">
        <v>1</v>
      </c>
      <c r="G535" s="35">
        <v>49.5</v>
      </c>
      <c r="H535" s="131">
        <f>F535*G535</f>
        <v>49.5</v>
      </c>
      <c r="I535" s="30" t="s">
        <v>312</v>
      </c>
      <c r="J535" s="132"/>
      <c r="K535" s="131"/>
      <c r="L535" s="30" t="s">
        <v>312</v>
      </c>
      <c r="M535" s="132"/>
      <c r="N535" s="115"/>
      <c r="O535" s="115"/>
    </row>
    <row r="536" spans="1:15" s="25" customFormat="1" ht="14.25" x14ac:dyDescent="0.2">
      <c r="A536" s="166"/>
      <c r="B536" s="160"/>
      <c r="C536" s="31"/>
      <c r="D536" s="146" t="s">
        <v>288</v>
      </c>
      <c r="E536" s="32"/>
      <c r="F536" s="147"/>
      <c r="G536" s="33"/>
      <c r="H536" s="129"/>
      <c r="I536" s="29"/>
      <c r="J536" s="130"/>
      <c r="K536" s="129"/>
      <c r="L536" s="29"/>
      <c r="M536" s="130"/>
      <c r="N536" s="115"/>
      <c r="O536" s="115"/>
    </row>
    <row r="537" spans="1:15" s="356" customFormat="1" ht="11.25" x14ac:dyDescent="0.2">
      <c r="A537" s="424"/>
      <c r="B537" s="425"/>
      <c r="C537" s="426"/>
      <c r="D537" s="427" t="s">
        <v>436</v>
      </c>
      <c r="E537" s="428"/>
      <c r="F537" s="429"/>
      <c r="G537" s="430"/>
      <c r="H537" s="431"/>
      <c r="I537" s="432"/>
      <c r="J537" s="433"/>
      <c r="K537" s="431"/>
      <c r="L537" s="432"/>
      <c r="M537" s="433"/>
      <c r="N537" s="434"/>
      <c r="O537" s="434"/>
    </row>
    <row r="538" spans="1:15" s="25" customFormat="1" ht="14.25" x14ac:dyDescent="0.2">
      <c r="A538" s="166"/>
      <c r="B538" s="160"/>
      <c r="C538" s="31"/>
      <c r="D538" s="146" t="s">
        <v>288</v>
      </c>
      <c r="E538" s="32"/>
      <c r="F538" s="147"/>
      <c r="G538" s="33"/>
      <c r="H538" s="129"/>
      <c r="I538" s="29"/>
      <c r="J538" s="130"/>
      <c r="K538" s="129"/>
      <c r="L538" s="29"/>
      <c r="M538" s="130"/>
      <c r="N538" s="115"/>
      <c r="O538" s="115"/>
    </row>
    <row r="539" spans="1:15" s="25" customFormat="1" ht="45" x14ac:dyDescent="0.2">
      <c r="A539" s="581"/>
      <c r="B539" s="582" t="s">
        <v>203</v>
      </c>
      <c r="C539" s="583" t="s">
        <v>677</v>
      </c>
      <c r="D539" s="584" t="s">
        <v>129</v>
      </c>
      <c r="E539" s="583" t="s">
        <v>310</v>
      </c>
      <c r="F539" s="585">
        <f>'MEMÓRIA DE CÁLCULO'!H82</f>
        <v>436.88999999999993</v>
      </c>
      <c r="G539" s="586"/>
      <c r="H539" s="588">
        <f>ROUND(SUM(H540),2)</f>
        <v>49.5</v>
      </c>
      <c r="I539" s="588">
        <f>ROUND(SUM(I540),2)</f>
        <v>0</v>
      </c>
      <c r="J539" s="589">
        <f>H539+I539</f>
        <v>49.5</v>
      </c>
      <c r="K539" s="587">
        <f>H539*F539</f>
        <v>21626.054999999997</v>
      </c>
      <c r="L539" s="588">
        <f>I539*F539</f>
        <v>0</v>
      </c>
      <c r="M539" s="589">
        <f>K539+L539</f>
        <v>21626.054999999997</v>
      </c>
      <c r="N539" s="585">
        <f>M539*$N$7</f>
        <v>5311.3591079999997</v>
      </c>
      <c r="O539" s="585">
        <f>ROUND(M539+N539,2)</f>
        <v>26937.41</v>
      </c>
    </row>
    <row r="540" spans="1:15" s="27" customFormat="1" ht="45" x14ac:dyDescent="0.2">
      <c r="A540" s="168"/>
      <c r="B540" s="149"/>
      <c r="C540" s="152"/>
      <c r="D540" s="153" t="str">
        <f>D539</f>
        <v>FORRO DE GESSO ACARTONADO REMOVÍVEL, com película vinílica branca, apoiados em perfis metálicos tipo "T" suspensos por pendurais rígidos (comprimento: 0,65 m / espessura: 9,0 mm / largura: 0,65 m) - instalado, inclusive acabamentos de borda e acessórios.</v>
      </c>
      <c r="E540" s="35" t="s">
        <v>310</v>
      </c>
      <c r="F540" s="148">
        <v>1</v>
      </c>
      <c r="G540" s="35">
        <v>49.5</v>
      </c>
      <c r="H540" s="131">
        <f>F540*G540</f>
        <v>49.5</v>
      </c>
      <c r="I540" s="30" t="s">
        <v>312</v>
      </c>
      <c r="J540" s="132"/>
      <c r="K540" s="131"/>
      <c r="L540" s="30" t="s">
        <v>312</v>
      </c>
      <c r="M540" s="132"/>
      <c r="N540" s="115"/>
      <c r="O540" s="115"/>
    </row>
    <row r="541" spans="1:15" s="25" customFormat="1" ht="14.25" x14ac:dyDescent="0.2">
      <c r="A541" s="166"/>
      <c r="B541" s="160"/>
      <c r="C541" s="31"/>
      <c r="D541" s="146" t="s">
        <v>288</v>
      </c>
      <c r="E541" s="32"/>
      <c r="F541" s="147"/>
      <c r="G541" s="33"/>
      <c r="H541" s="129"/>
      <c r="I541" s="29"/>
      <c r="J541" s="130"/>
      <c r="K541" s="129"/>
      <c r="L541" s="29"/>
      <c r="M541" s="130"/>
      <c r="N541" s="115"/>
      <c r="O541" s="115"/>
    </row>
    <row r="542" spans="1:15" s="356" customFormat="1" ht="11.25" x14ac:dyDescent="0.2">
      <c r="A542" s="413"/>
      <c r="B542" s="414"/>
      <c r="C542" s="415"/>
      <c r="D542" s="416" t="s">
        <v>437</v>
      </c>
      <c r="E542" s="417"/>
      <c r="F542" s="418"/>
      <c r="G542" s="419"/>
      <c r="H542" s="420"/>
      <c r="I542" s="421"/>
      <c r="J542" s="422"/>
      <c r="K542" s="420"/>
      <c r="L542" s="421"/>
      <c r="M542" s="422"/>
      <c r="N542" s="423"/>
      <c r="O542" s="423"/>
    </row>
    <row r="543" spans="1:15" s="25" customFormat="1" ht="14.25" x14ac:dyDescent="0.2">
      <c r="A543" s="166"/>
      <c r="B543" s="160"/>
      <c r="C543" s="31"/>
      <c r="D543" s="146" t="s">
        <v>288</v>
      </c>
      <c r="E543" s="32"/>
      <c r="F543" s="147"/>
      <c r="G543" s="33"/>
      <c r="H543" s="129"/>
      <c r="I543" s="29"/>
      <c r="J543" s="130"/>
      <c r="K543" s="129"/>
      <c r="L543" s="29"/>
      <c r="M543" s="130"/>
      <c r="N543" s="115"/>
      <c r="O543" s="115"/>
    </row>
    <row r="544" spans="1:15" s="25" customFormat="1" ht="45" x14ac:dyDescent="0.2">
      <c r="A544" s="581"/>
      <c r="B544" s="582" t="s">
        <v>203</v>
      </c>
      <c r="C544" s="583" t="s">
        <v>678</v>
      </c>
      <c r="D544" s="584" t="s">
        <v>129</v>
      </c>
      <c r="E544" s="583" t="s">
        <v>310</v>
      </c>
      <c r="F544" s="585">
        <f>'MEMÓRIA DE CÁLCULO'!H104</f>
        <v>428.69</v>
      </c>
      <c r="G544" s="586"/>
      <c r="H544" s="588">
        <f>ROUND(SUM(H545),2)</f>
        <v>49.5</v>
      </c>
      <c r="I544" s="588">
        <f>ROUND(SUM(I545),2)</f>
        <v>0</v>
      </c>
      <c r="J544" s="589">
        <f>H544+I544</f>
        <v>49.5</v>
      </c>
      <c r="K544" s="587">
        <f>H544*F544</f>
        <v>21220.154999999999</v>
      </c>
      <c r="L544" s="588">
        <f>I544*F544</f>
        <v>0</v>
      </c>
      <c r="M544" s="589">
        <f>K544+L544</f>
        <v>21220.154999999999</v>
      </c>
      <c r="N544" s="585">
        <f>M544*$N$7</f>
        <v>5211.6700680000004</v>
      </c>
      <c r="O544" s="585">
        <f>ROUND(M544+N544,2)</f>
        <v>26431.83</v>
      </c>
    </row>
    <row r="545" spans="1:15" s="27" customFormat="1" ht="45" x14ac:dyDescent="0.2">
      <c r="A545" s="168"/>
      <c r="B545" s="149"/>
      <c r="C545" s="152"/>
      <c r="D545" s="153" t="str">
        <f>D544</f>
        <v>FORRO DE GESSO ACARTONADO REMOVÍVEL, com película vinílica branca, apoiados em perfis metálicos tipo "T" suspensos por pendurais rígidos (comprimento: 0,65 m / espessura: 9,0 mm / largura: 0,65 m) - instalado, inclusive acabamentos de borda e acessórios.</v>
      </c>
      <c r="E545" s="35" t="s">
        <v>310</v>
      </c>
      <c r="F545" s="148">
        <v>1</v>
      </c>
      <c r="G545" s="35">
        <v>49.5</v>
      </c>
      <c r="H545" s="131">
        <f>F545*G545</f>
        <v>49.5</v>
      </c>
      <c r="I545" s="30" t="s">
        <v>312</v>
      </c>
      <c r="J545" s="132"/>
      <c r="K545" s="131"/>
      <c r="L545" s="30" t="s">
        <v>312</v>
      </c>
      <c r="M545" s="132"/>
      <c r="N545" s="115"/>
      <c r="O545" s="115"/>
    </row>
    <row r="546" spans="1:15" s="25" customFormat="1" ht="14.25" x14ac:dyDescent="0.2">
      <c r="A546" s="166"/>
      <c r="B546" s="160"/>
      <c r="C546" s="31"/>
      <c r="D546" s="146" t="s">
        <v>288</v>
      </c>
      <c r="E546" s="32"/>
      <c r="F546" s="147"/>
      <c r="G546" s="33"/>
      <c r="H546" s="129"/>
      <c r="I546" s="29"/>
      <c r="J546" s="130"/>
      <c r="K546" s="129"/>
      <c r="L546" s="29"/>
      <c r="M546" s="130"/>
      <c r="N546" s="115"/>
      <c r="O546" s="115"/>
    </row>
    <row r="547" spans="1:15" s="25" customFormat="1" ht="15.75" x14ac:dyDescent="0.2">
      <c r="A547" s="187"/>
      <c r="B547" s="188"/>
      <c r="C547" s="189">
        <v>10</v>
      </c>
      <c r="D547" s="190" t="s">
        <v>324</v>
      </c>
      <c r="E547" s="191"/>
      <c r="F547" s="190"/>
      <c r="G547" s="191"/>
      <c r="H547" s="192"/>
      <c r="I547" s="193"/>
      <c r="J547" s="194"/>
      <c r="K547" s="192"/>
      <c r="L547" s="193"/>
      <c r="M547" s="194"/>
      <c r="N547" s="195"/>
      <c r="O547" s="196">
        <f>SUM(O551:O575)</f>
        <v>43303.05</v>
      </c>
    </row>
    <row r="548" spans="1:15" s="25" customFormat="1" ht="14.25" x14ac:dyDescent="0.2">
      <c r="A548" s="166"/>
      <c r="B548" s="160"/>
      <c r="C548" s="31"/>
      <c r="D548" s="146" t="s">
        <v>288</v>
      </c>
      <c r="E548" s="32"/>
      <c r="F548" s="147"/>
      <c r="G548" s="33"/>
      <c r="H548" s="129"/>
      <c r="I548" s="29"/>
      <c r="J548" s="130"/>
      <c r="K548" s="129"/>
      <c r="L548" s="29"/>
      <c r="M548" s="130"/>
      <c r="N548" s="115"/>
      <c r="O548" s="115"/>
    </row>
    <row r="549" spans="1:15" s="356" customFormat="1" ht="11.25" x14ac:dyDescent="0.2">
      <c r="A549" s="402"/>
      <c r="B549" s="403"/>
      <c r="C549" s="404"/>
      <c r="D549" s="405" t="s">
        <v>431</v>
      </c>
      <c r="E549" s="406"/>
      <c r="F549" s="407"/>
      <c r="G549" s="408"/>
      <c r="H549" s="409"/>
      <c r="I549" s="410"/>
      <c r="J549" s="411"/>
      <c r="K549" s="409"/>
      <c r="L549" s="410"/>
      <c r="M549" s="411"/>
      <c r="N549" s="412"/>
      <c r="O549" s="412"/>
    </row>
    <row r="550" spans="1:15" s="25" customFormat="1" ht="8.25" customHeight="1" x14ac:dyDescent="0.2">
      <c r="A550" s="166"/>
      <c r="B550" s="161"/>
      <c r="C550" s="36"/>
      <c r="D550" s="146" t="s">
        <v>288</v>
      </c>
      <c r="E550" s="32"/>
      <c r="F550" s="147"/>
      <c r="G550" s="33"/>
      <c r="H550" s="129"/>
      <c r="I550" s="29"/>
      <c r="J550" s="130"/>
      <c r="K550" s="129"/>
      <c r="L550" s="29"/>
      <c r="M550" s="130"/>
      <c r="N550" s="115"/>
      <c r="O550" s="115"/>
    </row>
    <row r="551" spans="1:15" s="25" customFormat="1" ht="22.5" x14ac:dyDescent="0.2">
      <c r="A551" s="581" t="s">
        <v>277</v>
      </c>
      <c r="B551" s="582">
        <v>87905</v>
      </c>
      <c r="C551" s="583" t="s">
        <v>197</v>
      </c>
      <c r="D551" s="584" t="s">
        <v>49</v>
      </c>
      <c r="E551" s="583" t="s">
        <v>310</v>
      </c>
      <c r="F551" s="585">
        <f>'MEMÓRIA DE CÁLCULO'!G193</f>
        <v>92.56</v>
      </c>
      <c r="G551" s="586"/>
      <c r="H551" s="587">
        <v>2.84</v>
      </c>
      <c r="I551" s="588">
        <v>2.94</v>
      </c>
      <c r="J551" s="589">
        <f>H551+I551</f>
        <v>5.7799999999999994</v>
      </c>
      <c r="K551" s="587">
        <f>H551*F551</f>
        <v>262.87040000000002</v>
      </c>
      <c r="L551" s="588">
        <f>I551*F551</f>
        <v>272.12639999999999</v>
      </c>
      <c r="M551" s="589">
        <f>K551+L551</f>
        <v>534.99680000000001</v>
      </c>
      <c r="N551" s="585">
        <f>M551*$N$7</f>
        <v>131.39521408000002</v>
      </c>
      <c r="O551" s="585">
        <f>ROUND(M551+N551,2)</f>
        <v>666.39</v>
      </c>
    </row>
    <row r="552" spans="1:15" s="25" customFormat="1" ht="14.25" x14ac:dyDescent="0.2">
      <c r="A552" s="166"/>
      <c r="B552" s="160"/>
      <c r="C552" s="31"/>
      <c r="D552" s="146" t="s">
        <v>288</v>
      </c>
      <c r="E552" s="32"/>
      <c r="F552" s="147"/>
      <c r="G552" s="33"/>
      <c r="H552" s="129"/>
      <c r="I552" s="29"/>
      <c r="J552" s="130"/>
      <c r="K552" s="129"/>
      <c r="L552" s="29"/>
      <c r="M552" s="130"/>
      <c r="N552" s="115"/>
      <c r="O552" s="115"/>
    </row>
    <row r="553" spans="1:15" s="25" customFormat="1" ht="22.5" x14ac:dyDescent="0.2">
      <c r="A553" s="581" t="s">
        <v>277</v>
      </c>
      <c r="B553" s="582">
        <v>87562</v>
      </c>
      <c r="C553" s="583" t="s">
        <v>466</v>
      </c>
      <c r="D553" s="584" t="s">
        <v>50</v>
      </c>
      <c r="E553" s="583" t="s">
        <v>310</v>
      </c>
      <c r="F553" s="585">
        <f>F551</f>
        <v>92.56</v>
      </c>
      <c r="G553" s="586"/>
      <c r="H553" s="587">
        <v>8.0500000000000007</v>
      </c>
      <c r="I553" s="588">
        <v>12.72</v>
      </c>
      <c r="J553" s="589">
        <f>H553+I553</f>
        <v>20.770000000000003</v>
      </c>
      <c r="K553" s="587">
        <f>H553*F553</f>
        <v>745.10800000000006</v>
      </c>
      <c r="L553" s="588">
        <f>I553*F553</f>
        <v>1177.3632</v>
      </c>
      <c r="M553" s="589">
        <f>K553+L553</f>
        <v>1922.4712</v>
      </c>
      <c r="N553" s="585">
        <f>M553*$N$7</f>
        <v>472.15892672000001</v>
      </c>
      <c r="O553" s="585">
        <f>ROUND(M553+N553,2)</f>
        <v>2394.63</v>
      </c>
    </row>
    <row r="554" spans="1:15" s="25" customFormat="1" ht="14.25" x14ac:dyDescent="0.2">
      <c r="A554" s="166"/>
      <c r="B554" s="160"/>
      <c r="C554" s="31"/>
      <c r="D554" s="146" t="s">
        <v>288</v>
      </c>
      <c r="E554" s="32"/>
      <c r="F554" s="147"/>
      <c r="G554" s="33"/>
      <c r="H554" s="129"/>
      <c r="I554" s="29"/>
      <c r="J554" s="130"/>
      <c r="K554" s="129"/>
      <c r="L554" s="29"/>
      <c r="M554" s="130"/>
      <c r="N554" s="115"/>
      <c r="O554" s="115"/>
    </row>
    <row r="555" spans="1:15" s="356" customFormat="1" ht="11.25" x14ac:dyDescent="0.2">
      <c r="A555" s="402"/>
      <c r="B555" s="403"/>
      <c r="C555" s="404"/>
      <c r="D555" s="405" t="s">
        <v>435</v>
      </c>
      <c r="E555" s="406"/>
      <c r="F555" s="407"/>
      <c r="G555" s="408"/>
      <c r="H555" s="409"/>
      <c r="I555" s="410"/>
      <c r="J555" s="411"/>
      <c r="K555" s="409"/>
      <c r="L555" s="410"/>
      <c r="M555" s="411"/>
      <c r="N555" s="412"/>
      <c r="O555" s="412"/>
    </row>
    <row r="556" spans="1:15" s="25" customFormat="1" ht="14.25" x14ac:dyDescent="0.2">
      <c r="A556" s="166"/>
      <c r="B556" s="160"/>
      <c r="C556" s="31"/>
      <c r="D556" s="146" t="s">
        <v>288</v>
      </c>
      <c r="E556" s="32"/>
      <c r="F556" s="147"/>
      <c r="G556" s="33"/>
      <c r="H556" s="129"/>
      <c r="I556" s="29"/>
      <c r="J556" s="130"/>
      <c r="K556" s="129"/>
      <c r="L556" s="29"/>
      <c r="M556" s="130"/>
      <c r="N556" s="115"/>
      <c r="O556" s="115"/>
    </row>
    <row r="557" spans="1:15" s="25" customFormat="1" ht="22.5" x14ac:dyDescent="0.2">
      <c r="A557" s="581" t="s">
        <v>277</v>
      </c>
      <c r="B557" s="582">
        <v>87905</v>
      </c>
      <c r="C557" s="583" t="s">
        <v>472</v>
      </c>
      <c r="D557" s="584" t="s">
        <v>1011</v>
      </c>
      <c r="E557" s="583" t="s">
        <v>310</v>
      </c>
      <c r="F557" s="585">
        <f>'MEMÓRIA DE CÁLCULO'!G221</f>
        <v>127.872</v>
      </c>
      <c r="G557" s="586"/>
      <c r="H557" s="587">
        <v>2.84</v>
      </c>
      <c r="I557" s="588">
        <v>2.94</v>
      </c>
      <c r="J557" s="589">
        <f>H557+I557</f>
        <v>5.7799999999999994</v>
      </c>
      <c r="K557" s="587">
        <f>H557*F557</f>
        <v>363.15647999999999</v>
      </c>
      <c r="L557" s="588">
        <f>I557*F557</f>
        <v>375.94367999999997</v>
      </c>
      <c r="M557" s="589">
        <f>K557+L557</f>
        <v>739.10015999999996</v>
      </c>
      <c r="N557" s="585">
        <f>M557*$N$7</f>
        <v>181.52299929599999</v>
      </c>
      <c r="O557" s="585">
        <f>ROUND(M557+N557,2)</f>
        <v>920.62</v>
      </c>
    </row>
    <row r="558" spans="1:15" s="25" customFormat="1" ht="14.25" x14ac:dyDescent="0.2">
      <c r="A558" s="166"/>
      <c r="B558" s="160"/>
      <c r="C558" s="31"/>
      <c r="D558" s="146" t="s">
        <v>288</v>
      </c>
      <c r="E558" s="32"/>
      <c r="F558" s="147"/>
      <c r="G558" s="33"/>
      <c r="H558" s="129"/>
      <c r="I558" s="29"/>
      <c r="J558" s="130"/>
      <c r="K558" s="129"/>
      <c r="L558" s="29"/>
      <c r="M558" s="130"/>
      <c r="N558" s="115"/>
      <c r="O558" s="115"/>
    </row>
    <row r="559" spans="1:15" s="25" customFormat="1" ht="22.5" x14ac:dyDescent="0.2">
      <c r="A559" s="581" t="s">
        <v>277</v>
      </c>
      <c r="B559" s="582">
        <v>87562</v>
      </c>
      <c r="C559" s="583" t="s">
        <v>478</v>
      </c>
      <c r="D559" s="584" t="s">
        <v>50</v>
      </c>
      <c r="E559" s="583" t="s">
        <v>310</v>
      </c>
      <c r="F559" s="585">
        <f>F557</f>
        <v>127.872</v>
      </c>
      <c r="G559" s="586"/>
      <c r="H559" s="587">
        <v>8.0500000000000007</v>
      </c>
      <c r="I559" s="588">
        <v>12.72</v>
      </c>
      <c r="J559" s="589">
        <f>H559+I559</f>
        <v>20.770000000000003</v>
      </c>
      <c r="K559" s="587">
        <f>H559*F559</f>
        <v>1029.3696</v>
      </c>
      <c r="L559" s="588">
        <f>I559*F559</f>
        <v>1626.5318400000001</v>
      </c>
      <c r="M559" s="589">
        <f>K559+L559</f>
        <v>2655.9014400000001</v>
      </c>
      <c r="N559" s="585">
        <f>M559*$N$7</f>
        <v>652.28939366400004</v>
      </c>
      <c r="O559" s="585">
        <f>ROUND(M559+N559,2)</f>
        <v>3308.19</v>
      </c>
    </row>
    <row r="560" spans="1:15" s="25" customFormat="1" ht="14.25" x14ac:dyDescent="0.2">
      <c r="A560" s="166"/>
      <c r="B560" s="160"/>
      <c r="C560" s="31"/>
      <c r="D560" s="146" t="s">
        <v>288</v>
      </c>
      <c r="E560" s="32"/>
      <c r="F560" s="147"/>
      <c r="G560" s="33"/>
      <c r="H560" s="129"/>
      <c r="I560" s="29"/>
      <c r="J560" s="130"/>
      <c r="K560" s="129"/>
      <c r="L560" s="29"/>
      <c r="M560" s="130"/>
      <c r="N560" s="115"/>
      <c r="O560" s="115"/>
    </row>
    <row r="561" spans="1:15" s="25" customFormat="1" ht="33.75" x14ac:dyDescent="0.2">
      <c r="A561" s="581" t="s">
        <v>140</v>
      </c>
      <c r="B561" s="582">
        <v>87268</v>
      </c>
      <c r="C561" s="583" t="s">
        <v>681</v>
      </c>
      <c r="D561" s="584" t="s">
        <v>680</v>
      </c>
      <c r="E561" s="583" t="s">
        <v>310</v>
      </c>
      <c r="F561" s="585">
        <f>'MEMÓRIA DE CÁLCULO'!K59</f>
        <v>197.93000000000004</v>
      </c>
      <c r="G561" s="586"/>
      <c r="H561" s="587">
        <v>37.96</v>
      </c>
      <c r="I561" s="588">
        <v>8.52</v>
      </c>
      <c r="J561" s="589">
        <f>H561+I561</f>
        <v>46.480000000000004</v>
      </c>
      <c r="K561" s="587">
        <f>H561*F561</f>
        <v>7513.4228000000012</v>
      </c>
      <c r="L561" s="588">
        <f>I561*F561</f>
        <v>1686.3636000000001</v>
      </c>
      <c r="M561" s="589">
        <f>K561+L561</f>
        <v>9199.7864000000009</v>
      </c>
      <c r="N561" s="585">
        <f>M561*$N$7</f>
        <v>2259.4675398400004</v>
      </c>
      <c r="O561" s="585">
        <f>ROUND(M561+N561,2)</f>
        <v>11459.25</v>
      </c>
    </row>
    <row r="562" spans="1:15" s="27" customFormat="1" x14ac:dyDescent="0.2">
      <c r="A562" s="166"/>
      <c r="B562" s="160"/>
      <c r="C562" s="31"/>
      <c r="D562" s="146" t="s">
        <v>288</v>
      </c>
      <c r="E562" s="32"/>
      <c r="F562" s="147"/>
      <c r="G562" s="33"/>
      <c r="H562" s="129"/>
      <c r="I562" s="29"/>
      <c r="J562" s="130"/>
      <c r="K562" s="129"/>
      <c r="L562" s="29"/>
      <c r="M562" s="130"/>
      <c r="N562" s="115"/>
      <c r="O562" s="115"/>
    </row>
    <row r="563" spans="1:15" s="356" customFormat="1" ht="11.25" x14ac:dyDescent="0.2">
      <c r="A563" s="424"/>
      <c r="B563" s="425"/>
      <c r="C563" s="426"/>
      <c r="D563" s="427" t="s">
        <v>436</v>
      </c>
      <c r="E563" s="428"/>
      <c r="F563" s="429"/>
      <c r="G563" s="430"/>
      <c r="H563" s="431"/>
      <c r="I563" s="432"/>
      <c r="J563" s="433"/>
      <c r="K563" s="431"/>
      <c r="L563" s="432"/>
      <c r="M563" s="433"/>
      <c r="N563" s="434"/>
      <c r="O563" s="434"/>
    </row>
    <row r="564" spans="1:15" s="25" customFormat="1" ht="14.25" x14ac:dyDescent="0.2">
      <c r="A564" s="166"/>
      <c r="B564" s="160"/>
      <c r="C564" s="31"/>
      <c r="D564" s="146" t="s">
        <v>288</v>
      </c>
      <c r="E564" s="32"/>
      <c r="F564" s="147"/>
      <c r="G564" s="33"/>
      <c r="H564" s="129"/>
      <c r="I564" s="29"/>
      <c r="J564" s="130"/>
      <c r="K564" s="129"/>
      <c r="L564" s="29"/>
      <c r="M564" s="130"/>
      <c r="N564" s="115"/>
      <c r="O564" s="115"/>
    </row>
    <row r="565" spans="1:15" s="25" customFormat="1" ht="33.75" x14ac:dyDescent="0.2">
      <c r="A565" s="581" t="s">
        <v>277</v>
      </c>
      <c r="B565" s="582">
        <v>87562</v>
      </c>
      <c r="C565" s="583" t="s">
        <v>956</v>
      </c>
      <c r="D565" s="584" t="s">
        <v>51</v>
      </c>
      <c r="E565" s="583" t="s">
        <v>310</v>
      </c>
      <c r="F565" s="585">
        <f>'MEMÓRIA DE CÁLCULO'!H224</f>
        <v>113.4</v>
      </c>
      <c r="G565" s="586"/>
      <c r="H565" s="587">
        <v>8.0500000000000007</v>
      </c>
      <c r="I565" s="588">
        <v>12.72</v>
      </c>
      <c r="J565" s="589">
        <f>H565+I565</f>
        <v>20.770000000000003</v>
      </c>
      <c r="K565" s="587">
        <f>H565*F565</f>
        <v>912.87000000000012</v>
      </c>
      <c r="L565" s="588">
        <f>I565*F565</f>
        <v>1442.4480000000001</v>
      </c>
      <c r="M565" s="589">
        <f>K565+L565</f>
        <v>2355.3180000000002</v>
      </c>
      <c r="N565" s="585">
        <f>M565*$N$7</f>
        <v>578.46610080000005</v>
      </c>
      <c r="O565" s="585">
        <f>ROUND(M565+N565,2)</f>
        <v>2933.78</v>
      </c>
    </row>
    <row r="566" spans="1:15" s="25" customFormat="1" ht="14.25" x14ac:dyDescent="0.2">
      <c r="A566" s="166"/>
      <c r="B566" s="160"/>
      <c r="C566" s="31"/>
      <c r="D566" s="146" t="s">
        <v>288</v>
      </c>
      <c r="E566" s="32"/>
      <c r="F566" s="147"/>
      <c r="G566" s="33"/>
      <c r="H566" s="129"/>
      <c r="I566" s="29"/>
      <c r="J566" s="130"/>
      <c r="K566" s="129"/>
      <c r="L566" s="29"/>
      <c r="M566" s="130"/>
      <c r="N566" s="115"/>
      <c r="O566" s="115"/>
    </row>
    <row r="567" spans="1:15" s="25" customFormat="1" ht="33.75" x14ac:dyDescent="0.2">
      <c r="A567" s="581" t="s">
        <v>140</v>
      </c>
      <c r="B567" s="582" t="s">
        <v>198</v>
      </c>
      <c r="C567" s="583" t="s">
        <v>957</v>
      </c>
      <c r="D567" s="584" t="s">
        <v>680</v>
      </c>
      <c r="E567" s="583" t="s">
        <v>310</v>
      </c>
      <c r="F567" s="585">
        <f>'MEMÓRIA DE CÁLCULO'!K82</f>
        <v>166.98000000000002</v>
      </c>
      <c r="G567" s="586"/>
      <c r="H567" s="587">
        <v>37.96</v>
      </c>
      <c r="I567" s="588">
        <v>8.52</v>
      </c>
      <c r="J567" s="589">
        <f>H567+I567</f>
        <v>46.480000000000004</v>
      </c>
      <c r="K567" s="587">
        <f>H567*F567</f>
        <v>6338.5608000000011</v>
      </c>
      <c r="L567" s="588">
        <f>I567*F567</f>
        <v>1422.6696000000002</v>
      </c>
      <c r="M567" s="589">
        <f>K567+L567</f>
        <v>7761.2304000000013</v>
      </c>
      <c r="N567" s="585">
        <f>M567*$N$7</f>
        <v>1906.1581862400003</v>
      </c>
      <c r="O567" s="585">
        <f>ROUND(M567+N567,2)</f>
        <v>9667.39</v>
      </c>
    </row>
    <row r="568" spans="1:15" s="27" customFormat="1" x14ac:dyDescent="0.2">
      <c r="A568" s="166"/>
      <c r="B568" s="160"/>
      <c r="C568" s="31"/>
      <c r="D568" s="146" t="s">
        <v>288</v>
      </c>
      <c r="E568" s="32"/>
      <c r="F568" s="147"/>
      <c r="G568" s="33"/>
      <c r="H568" s="129"/>
      <c r="I568" s="29"/>
      <c r="J568" s="130"/>
      <c r="K568" s="129"/>
      <c r="L568" s="29"/>
      <c r="M568" s="130"/>
      <c r="N568" s="115"/>
      <c r="O568" s="115"/>
    </row>
    <row r="569" spans="1:15" s="356" customFormat="1" ht="11.25" x14ac:dyDescent="0.2">
      <c r="A569" s="413"/>
      <c r="B569" s="414"/>
      <c r="C569" s="415"/>
      <c r="D569" s="416" t="s">
        <v>437</v>
      </c>
      <c r="E569" s="417"/>
      <c r="F569" s="418"/>
      <c r="G569" s="419"/>
      <c r="H569" s="420"/>
      <c r="I569" s="421"/>
      <c r="J569" s="422"/>
      <c r="K569" s="420"/>
      <c r="L569" s="421"/>
      <c r="M569" s="422"/>
      <c r="N569" s="423"/>
      <c r="O569" s="423"/>
    </row>
    <row r="570" spans="1:15" s="25" customFormat="1" ht="14.25" x14ac:dyDescent="0.2">
      <c r="A570" s="166"/>
      <c r="B570" s="160"/>
      <c r="C570" s="31"/>
      <c r="D570" s="146" t="s">
        <v>288</v>
      </c>
      <c r="E570" s="32"/>
      <c r="F570" s="147"/>
      <c r="G570" s="33"/>
      <c r="H570" s="129"/>
      <c r="I570" s="29"/>
      <c r="J570" s="130"/>
      <c r="K570" s="129"/>
      <c r="L570" s="29"/>
      <c r="M570" s="130"/>
      <c r="N570" s="115"/>
      <c r="O570" s="115"/>
    </row>
    <row r="571" spans="1:15" s="25" customFormat="1" ht="33.75" x14ac:dyDescent="0.2">
      <c r="A571" s="581" t="s">
        <v>277</v>
      </c>
      <c r="B571" s="582">
        <v>87562</v>
      </c>
      <c r="C571" s="583" t="s">
        <v>958</v>
      </c>
      <c r="D571" s="584" t="s">
        <v>51</v>
      </c>
      <c r="E571" s="583" t="s">
        <v>310</v>
      </c>
      <c r="F571" s="585">
        <f>'MEMÓRIA DE CÁLCULO'!H225</f>
        <v>45.900000000000006</v>
      </c>
      <c r="G571" s="586"/>
      <c r="H571" s="587">
        <v>8.0500000000000007</v>
      </c>
      <c r="I571" s="588">
        <v>12.72</v>
      </c>
      <c r="J571" s="589">
        <f>H571+I571</f>
        <v>20.770000000000003</v>
      </c>
      <c r="K571" s="587">
        <f>H571*F571</f>
        <v>369.49500000000006</v>
      </c>
      <c r="L571" s="588">
        <f>I571*F571</f>
        <v>583.84800000000007</v>
      </c>
      <c r="M571" s="589">
        <f>K571+L571</f>
        <v>953.34300000000007</v>
      </c>
      <c r="N571" s="585">
        <f>M571*$N$7</f>
        <v>234.14104080000004</v>
      </c>
      <c r="O571" s="585">
        <f>ROUND(M571+N571,2)</f>
        <v>1187.48</v>
      </c>
    </row>
    <row r="572" spans="1:15" s="25" customFormat="1" ht="14.25" x14ac:dyDescent="0.2">
      <c r="A572" s="166"/>
      <c r="B572" s="160"/>
      <c r="C572" s="31"/>
      <c r="D572" s="146" t="s">
        <v>288</v>
      </c>
      <c r="E572" s="32"/>
      <c r="F572" s="147"/>
      <c r="G572" s="33"/>
      <c r="H572" s="129"/>
      <c r="I572" s="29"/>
      <c r="J572" s="130"/>
      <c r="K572" s="129"/>
      <c r="L572" s="29"/>
      <c r="M572" s="130"/>
      <c r="N572" s="115"/>
      <c r="O572" s="115"/>
    </row>
    <row r="573" spans="1:15" s="25" customFormat="1" ht="33.75" x14ac:dyDescent="0.2">
      <c r="A573" s="581" t="s">
        <v>140</v>
      </c>
      <c r="B573" s="582" t="s">
        <v>198</v>
      </c>
      <c r="C573" s="583" t="s">
        <v>959</v>
      </c>
      <c r="D573" s="584" t="s">
        <v>680</v>
      </c>
      <c r="E573" s="583" t="s">
        <v>310</v>
      </c>
      <c r="F573" s="585">
        <f>'MEMÓRIA DE CÁLCULO'!K104</f>
        <v>185.94399999999999</v>
      </c>
      <c r="G573" s="586"/>
      <c r="H573" s="587">
        <v>37.96</v>
      </c>
      <c r="I573" s="588">
        <v>8.52</v>
      </c>
      <c r="J573" s="589">
        <f>H573+I573</f>
        <v>46.480000000000004</v>
      </c>
      <c r="K573" s="587">
        <f>H573*F573</f>
        <v>7058.4342399999996</v>
      </c>
      <c r="L573" s="588">
        <f>I573*F573</f>
        <v>1584.2428799999998</v>
      </c>
      <c r="M573" s="589">
        <f>K573+L573</f>
        <v>8642.6771200000003</v>
      </c>
      <c r="N573" s="585">
        <f>M573*$N$7</f>
        <v>2122.6415006720003</v>
      </c>
      <c r="O573" s="585">
        <f>ROUND(M573+N573,2)</f>
        <v>10765.32</v>
      </c>
    </row>
    <row r="574" spans="1:15" s="27" customFormat="1" x14ac:dyDescent="0.2">
      <c r="A574" s="166"/>
      <c r="B574" s="160"/>
      <c r="C574" s="31"/>
      <c r="D574" s="146" t="s">
        <v>288</v>
      </c>
      <c r="E574" s="32"/>
      <c r="F574" s="147"/>
      <c r="G574" s="33"/>
      <c r="H574" s="129"/>
      <c r="I574" s="29"/>
      <c r="J574" s="130"/>
      <c r="K574" s="129"/>
      <c r="L574" s="29"/>
      <c r="M574" s="130"/>
      <c r="N574" s="115"/>
      <c r="O574" s="115"/>
    </row>
    <row r="575" spans="1:15" s="25" customFormat="1" ht="14.25" x14ac:dyDescent="0.2">
      <c r="A575" s="166"/>
      <c r="B575" s="161"/>
      <c r="C575" s="36"/>
      <c r="D575" s="146" t="s">
        <v>288</v>
      </c>
      <c r="E575" s="32"/>
      <c r="F575" s="147"/>
      <c r="G575" s="33"/>
      <c r="H575" s="129"/>
      <c r="I575" s="29"/>
      <c r="J575" s="130"/>
      <c r="K575" s="129"/>
      <c r="L575" s="29"/>
      <c r="M575" s="130"/>
      <c r="N575" s="114"/>
      <c r="O575" s="114"/>
    </row>
    <row r="576" spans="1:15" s="25" customFormat="1" ht="15.75" x14ac:dyDescent="0.2">
      <c r="A576" s="461"/>
      <c r="B576" s="188"/>
      <c r="C576" s="189">
        <v>11</v>
      </c>
      <c r="D576" s="190" t="s">
        <v>325</v>
      </c>
      <c r="E576" s="191"/>
      <c r="F576" s="190"/>
      <c r="G576" s="191"/>
      <c r="H576" s="192"/>
      <c r="I576" s="193"/>
      <c r="J576" s="194"/>
      <c r="K576" s="192"/>
      <c r="L576" s="193"/>
      <c r="M576" s="194"/>
      <c r="N576" s="195"/>
      <c r="O576" s="196">
        <f>SUM(O580:O596)</f>
        <v>2654.31</v>
      </c>
    </row>
    <row r="577" spans="1:15" s="25" customFormat="1" ht="14.25" x14ac:dyDescent="0.2">
      <c r="A577" s="166"/>
      <c r="B577" s="160"/>
      <c r="C577" s="31"/>
      <c r="D577" s="146" t="s">
        <v>288</v>
      </c>
      <c r="E577" s="32"/>
      <c r="F577" s="147"/>
      <c r="G577" s="33"/>
      <c r="H577" s="129"/>
      <c r="I577" s="29"/>
      <c r="J577" s="130"/>
      <c r="K577" s="129"/>
      <c r="L577" s="29"/>
      <c r="M577" s="130"/>
      <c r="N577" s="115"/>
      <c r="O577" s="115"/>
    </row>
    <row r="578" spans="1:15" s="356" customFormat="1" ht="11.25" x14ac:dyDescent="0.2">
      <c r="A578" s="402"/>
      <c r="B578" s="403"/>
      <c r="C578" s="404"/>
      <c r="D578" s="405" t="s">
        <v>435</v>
      </c>
      <c r="E578" s="406"/>
      <c r="F578" s="407"/>
      <c r="G578" s="408"/>
      <c r="H578" s="409"/>
      <c r="I578" s="410"/>
      <c r="J578" s="411"/>
      <c r="K578" s="409"/>
      <c r="L578" s="410"/>
      <c r="M578" s="411"/>
      <c r="N578" s="412"/>
      <c r="O578" s="412"/>
    </row>
    <row r="579" spans="1:15" s="25" customFormat="1" ht="14.25" x14ac:dyDescent="0.2">
      <c r="A579" s="166"/>
      <c r="B579" s="160"/>
      <c r="C579" s="31"/>
      <c r="D579" s="146" t="s">
        <v>288</v>
      </c>
      <c r="E579" s="32"/>
      <c r="F579" s="147"/>
      <c r="G579" s="33"/>
      <c r="H579" s="129"/>
      <c r="I579" s="29"/>
      <c r="J579" s="130"/>
      <c r="K579" s="129"/>
      <c r="L579" s="29"/>
      <c r="M579" s="130"/>
      <c r="N579" s="115"/>
      <c r="O579" s="115"/>
    </row>
    <row r="580" spans="1:15" s="25" customFormat="1" ht="27.75" x14ac:dyDescent="0.2">
      <c r="A580" s="581" t="s">
        <v>277</v>
      </c>
      <c r="B580" s="582" t="s">
        <v>1827</v>
      </c>
      <c r="C580" s="583" t="s">
        <v>960</v>
      </c>
      <c r="D580" s="584" t="s">
        <v>120</v>
      </c>
      <c r="E580" s="583" t="s">
        <v>314</v>
      </c>
      <c r="F580" s="585">
        <f>'MEMÓRIA DE CÁLCULO'!O151</f>
        <v>92.2</v>
      </c>
      <c r="G580" s="586"/>
      <c r="H580" s="587">
        <v>3.2200000000000006</v>
      </c>
      <c r="I580" s="588">
        <v>5.09</v>
      </c>
      <c r="J580" s="589">
        <f>H580+I580</f>
        <v>8.31</v>
      </c>
      <c r="K580" s="587">
        <f>H580*F580</f>
        <v>296.88400000000007</v>
      </c>
      <c r="L580" s="588">
        <f>I580*F580</f>
        <v>469.298</v>
      </c>
      <c r="M580" s="589">
        <f>K580+L580</f>
        <v>766.18200000000002</v>
      </c>
      <c r="N580" s="585">
        <f>M580*$N$7</f>
        <v>188.17429920000001</v>
      </c>
      <c r="O580" s="585">
        <f>ROUND(M580+N580,2)</f>
        <v>954.36</v>
      </c>
    </row>
    <row r="581" spans="1:15" s="25" customFormat="1" ht="14.25" x14ac:dyDescent="0.2">
      <c r="A581" s="166"/>
      <c r="B581" s="160"/>
      <c r="C581" s="31"/>
      <c r="D581" s="146" t="s">
        <v>288</v>
      </c>
      <c r="E581" s="32"/>
      <c r="F581" s="147"/>
      <c r="G581" s="33"/>
      <c r="H581" s="129"/>
      <c r="I581" s="29"/>
      <c r="J581" s="130"/>
      <c r="K581" s="129"/>
      <c r="L581" s="29"/>
      <c r="M581" s="130"/>
      <c r="N581" s="115"/>
      <c r="O581" s="115"/>
    </row>
    <row r="582" spans="1:15" s="356" customFormat="1" ht="11.25" x14ac:dyDescent="0.2">
      <c r="A582" s="424"/>
      <c r="B582" s="425"/>
      <c r="C582" s="426"/>
      <c r="D582" s="427" t="s">
        <v>436</v>
      </c>
      <c r="E582" s="428"/>
      <c r="F582" s="429"/>
      <c r="G582" s="430"/>
      <c r="H582" s="431"/>
      <c r="I582" s="432"/>
      <c r="J582" s="433"/>
      <c r="K582" s="431"/>
      <c r="L582" s="432"/>
      <c r="M582" s="433"/>
      <c r="N582" s="434"/>
      <c r="O582" s="434"/>
    </row>
    <row r="583" spans="1:15" s="25" customFormat="1" ht="14.25" x14ac:dyDescent="0.2">
      <c r="A583" s="166"/>
      <c r="B583" s="160"/>
      <c r="C583" s="31"/>
      <c r="D583" s="146" t="s">
        <v>288</v>
      </c>
      <c r="E583" s="32"/>
      <c r="F583" s="147"/>
      <c r="G583" s="33"/>
      <c r="H583" s="129"/>
      <c r="I583" s="29"/>
      <c r="J583" s="130"/>
      <c r="K583" s="129"/>
      <c r="L583" s="29"/>
      <c r="M583" s="130"/>
      <c r="N583" s="115"/>
      <c r="O583" s="115"/>
    </row>
    <row r="584" spans="1:15" s="25" customFormat="1" ht="14.25" x14ac:dyDescent="0.2">
      <c r="A584" s="581" t="s">
        <v>277</v>
      </c>
      <c r="B584" s="582">
        <v>87905</v>
      </c>
      <c r="C584" s="583" t="s">
        <v>199</v>
      </c>
      <c r="D584" s="584" t="s">
        <v>1012</v>
      </c>
      <c r="E584" s="583" t="s">
        <v>310</v>
      </c>
      <c r="F584" s="585">
        <f>'MEMÓRIA DE CÁLCULO'!P168*2</f>
        <v>4.08</v>
      </c>
      <c r="G584" s="586"/>
      <c r="H584" s="587">
        <v>2.84</v>
      </c>
      <c r="I584" s="588">
        <v>2.94</v>
      </c>
      <c r="J584" s="589">
        <f>H584+I584</f>
        <v>5.7799999999999994</v>
      </c>
      <c r="K584" s="587">
        <f>H584*F584</f>
        <v>11.587199999999999</v>
      </c>
      <c r="L584" s="588">
        <f>I584*F584</f>
        <v>11.995200000000001</v>
      </c>
      <c r="M584" s="589">
        <f>K584+L584</f>
        <v>23.5824</v>
      </c>
      <c r="N584" s="585">
        <f>M584*$N$7</f>
        <v>5.7918374400000001</v>
      </c>
      <c r="O584" s="585">
        <f>ROUND(M584+N584,2)</f>
        <v>29.37</v>
      </c>
    </row>
    <row r="585" spans="1:15" s="25" customFormat="1" ht="14.25" x14ac:dyDescent="0.2">
      <c r="A585" s="166"/>
      <c r="B585" s="160"/>
      <c r="C585" s="31"/>
      <c r="D585" s="146" t="s">
        <v>288</v>
      </c>
      <c r="E585" s="32"/>
      <c r="F585" s="147"/>
      <c r="G585" s="33"/>
      <c r="H585" s="129"/>
      <c r="I585" s="29"/>
      <c r="J585" s="130"/>
      <c r="K585" s="129"/>
      <c r="L585" s="29"/>
      <c r="M585" s="130"/>
      <c r="N585" s="115"/>
      <c r="O585" s="115"/>
    </row>
    <row r="586" spans="1:15" s="25" customFormat="1" ht="22.5" x14ac:dyDescent="0.2">
      <c r="A586" s="581" t="s">
        <v>277</v>
      </c>
      <c r="B586" s="582">
        <v>87562</v>
      </c>
      <c r="C586" s="583" t="s">
        <v>200</v>
      </c>
      <c r="D586" s="584" t="s">
        <v>679</v>
      </c>
      <c r="E586" s="583" t="s">
        <v>310</v>
      </c>
      <c r="F586" s="585">
        <f>F584</f>
        <v>4.08</v>
      </c>
      <c r="G586" s="586"/>
      <c r="H586" s="587">
        <v>8.0500000000000007</v>
      </c>
      <c r="I586" s="588">
        <v>12.72</v>
      </c>
      <c r="J586" s="589">
        <f>H586+I586</f>
        <v>20.770000000000003</v>
      </c>
      <c r="K586" s="587">
        <f>H586*F586</f>
        <v>32.844000000000001</v>
      </c>
      <c r="L586" s="588">
        <f>I586*F586</f>
        <v>51.897600000000004</v>
      </c>
      <c r="M586" s="589">
        <f>K586+L586</f>
        <v>84.741600000000005</v>
      </c>
      <c r="N586" s="585">
        <f>M586*$N$7</f>
        <v>20.812536960000003</v>
      </c>
      <c r="O586" s="585">
        <f>ROUND(M586+N586,2)</f>
        <v>105.55</v>
      </c>
    </row>
    <row r="587" spans="1:15" s="25" customFormat="1" ht="14.25" x14ac:dyDescent="0.2">
      <c r="A587" s="166"/>
      <c r="B587" s="160"/>
      <c r="C587" s="31"/>
      <c r="D587" s="146" t="s">
        <v>288</v>
      </c>
      <c r="E587" s="32"/>
      <c r="F587" s="147"/>
      <c r="G587" s="33"/>
      <c r="H587" s="129"/>
      <c r="I587" s="29"/>
      <c r="J587" s="130"/>
      <c r="K587" s="129"/>
      <c r="L587" s="29"/>
      <c r="M587" s="130"/>
      <c r="N587" s="115"/>
      <c r="O587" s="115"/>
    </row>
    <row r="588" spans="1:15" s="25" customFormat="1" ht="27.75" x14ac:dyDescent="0.2">
      <c r="A588" s="581" t="s">
        <v>277</v>
      </c>
      <c r="B588" s="582" t="s">
        <v>1827</v>
      </c>
      <c r="C588" s="583" t="s">
        <v>682</v>
      </c>
      <c r="D588" s="584" t="s">
        <v>120</v>
      </c>
      <c r="E588" s="583" t="s">
        <v>314</v>
      </c>
      <c r="F588" s="585">
        <f>'MEMÓRIA DE CÁLCULO'!O168</f>
        <v>66.699999999999989</v>
      </c>
      <c r="G588" s="586"/>
      <c r="H588" s="587">
        <v>3.2200000000000006</v>
      </c>
      <c r="I588" s="588">
        <v>5.09</v>
      </c>
      <c r="J588" s="589">
        <f>H588+I588</f>
        <v>8.31</v>
      </c>
      <c r="K588" s="587">
        <f>H588*F588</f>
        <v>214.774</v>
      </c>
      <c r="L588" s="588">
        <f>I588*F588</f>
        <v>339.50299999999993</v>
      </c>
      <c r="M588" s="589">
        <f>K588+L588</f>
        <v>554.27699999999993</v>
      </c>
      <c r="N588" s="585">
        <f>M588*$N$7</f>
        <v>136.1304312</v>
      </c>
      <c r="O588" s="585">
        <f>ROUND(M588+N588,2)</f>
        <v>690.41</v>
      </c>
    </row>
    <row r="589" spans="1:15" s="25" customFormat="1" ht="14.25" x14ac:dyDescent="0.2">
      <c r="A589" s="166"/>
      <c r="B589" s="160"/>
      <c r="C589" s="31"/>
      <c r="D589" s="146" t="s">
        <v>288</v>
      </c>
      <c r="E589" s="32"/>
      <c r="F589" s="147"/>
      <c r="G589" s="33"/>
      <c r="H589" s="129"/>
      <c r="I589" s="29"/>
      <c r="J589" s="130"/>
      <c r="K589" s="129"/>
      <c r="L589" s="29"/>
      <c r="M589" s="130"/>
      <c r="N589" s="115"/>
      <c r="O589" s="115"/>
    </row>
    <row r="590" spans="1:15" s="356" customFormat="1" ht="11.25" x14ac:dyDescent="0.2">
      <c r="A590" s="413"/>
      <c r="B590" s="414"/>
      <c r="C590" s="415"/>
      <c r="D590" s="416" t="s">
        <v>437</v>
      </c>
      <c r="E590" s="417"/>
      <c r="F590" s="418"/>
      <c r="G590" s="419"/>
      <c r="H590" s="420"/>
      <c r="I590" s="421"/>
      <c r="J590" s="422"/>
      <c r="K590" s="420"/>
      <c r="L590" s="421"/>
      <c r="M590" s="422"/>
      <c r="N590" s="423"/>
      <c r="O590" s="423"/>
    </row>
    <row r="591" spans="1:15" s="25" customFormat="1" ht="14.25" x14ac:dyDescent="0.2">
      <c r="A591" s="166"/>
      <c r="B591" s="160"/>
      <c r="C591" s="31"/>
      <c r="D591" s="146" t="s">
        <v>288</v>
      </c>
      <c r="E591" s="32"/>
      <c r="F591" s="147"/>
      <c r="G591" s="33"/>
      <c r="H591" s="129"/>
      <c r="I591" s="29"/>
      <c r="J591" s="130"/>
      <c r="K591" s="129"/>
      <c r="L591" s="29"/>
      <c r="M591" s="130"/>
      <c r="N591" s="115"/>
      <c r="O591" s="115"/>
    </row>
    <row r="592" spans="1:15" s="25" customFormat="1" ht="14.25" x14ac:dyDescent="0.2">
      <c r="A592" s="581" t="s">
        <v>277</v>
      </c>
      <c r="B592" s="582">
        <v>87905</v>
      </c>
      <c r="C592" s="583" t="s">
        <v>683</v>
      </c>
      <c r="D592" s="584" t="s">
        <v>1013</v>
      </c>
      <c r="E592" s="583" t="s">
        <v>310</v>
      </c>
      <c r="F592" s="585">
        <f>'MEMÓRIA DE CÁLCULO'!P184*2</f>
        <v>6.29</v>
      </c>
      <c r="G592" s="586"/>
      <c r="H592" s="587">
        <v>2.84</v>
      </c>
      <c r="I592" s="588">
        <v>2.94</v>
      </c>
      <c r="J592" s="589">
        <f>H592+I592</f>
        <v>5.7799999999999994</v>
      </c>
      <c r="K592" s="587">
        <f>H592*F592</f>
        <v>17.863599999999998</v>
      </c>
      <c r="L592" s="588">
        <f>I592*F592</f>
        <v>18.492599999999999</v>
      </c>
      <c r="M592" s="589">
        <f>K592+L592</f>
        <v>36.356200000000001</v>
      </c>
      <c r="N592" s="585">
        <f>M592*$N$7</f>
        <v>8.9290827200000003</v>
      </c>
      <c r="O592" s="585">
        <f>ROUND(M592+N592,2)</f>
        <v>45.29</v>
      </c>
    </row>
    <row r="593" spans="1:15" s="25" customFormat="1" ht="14.25" x14ac:dyDescent="0.2">
      <c r="A593" s="166"/>
      <c r="B593" s="160"/>
      <c r="C593" s="31"/>
      <c r="D593" s="146" t="s">
        <v>288</v>
      </c>
      <c r="E593" s="32"/>
      <c r="F593" s="147"/>
      <c r="G593" s="33"/>
      <c r="H593" s="129"/>
      <c r="I593" s="29"/>
      <c r="J593" s="130"/>
      <c r="K593" s="129"/>
      <c r="L593" s="29"/>
      <c r="M593" s="130"/>
      <c r="N593" s="115"/>
      <c r="O593" s="115"/>
    </row>
    <row r="594" spans="1:15" s="25" customFormat="1" ht="22.5" x14ac:dyDescent="0.2">
      <c r="A594" s="581" t="s">
        <v>277</v>
      </c>
      <c r="B594" s="582">
        <v>87562</v>
      </c>
      <c r="C594" s="583" t="s">
        <v>684</v>
      </c>
      <c r="D594" s="584" t="s">
        <v>679</v>
      </c>
      <c r="E594" s="583" t="s">
        <v>310</v>
      </c>
      <c r="F594" s="585">
        <f>F592</f>
        <v>6.29</v>
      </c>
      <c r="G594" s="586"/>
      <c r="H594" s="587">
        <v>8.0500000000000007</v>
      </c>
      <c r="I594" s="588">
        <v>12.72</v>
      </c>
      <c r="J594" s="589">
        <f>H594+I594</f>
        <v>20.770000000000003</v>
      </c>
      <c r="K594" s="587">
        <f>H594*F594</f>
        <v>50.634500000000003</v>
      </c>
      <c r="L594" s="588">
        <f>I594*F594</f>
        <v>80.008800000000008</v>
      </c>
      <c r="M594" s="589">
        <f>K594+L594</f>
        <v>130.64330000000001</v>
      </c>
      <c r="N594" s="585">
        <f>M594*$N$7</f>
        <v>32.085994480000004</v>
      </c>
      <c r="O594" s="585">
        <f>ROUND(M594+N594,2)</f>
        <v>162.72999999999999</v>
      </c>
    </row>
    <row r="595" spans="1:15" s="25" customFormat="1" ht="14.25" x14ac:dyDescent="0.2">
      <c r="A595" s="166"/>
      <c r="B595" s="160"/>
      <c r="C595" s="31"/>
      <c r="D595" s="146" t="s">
        <v>288</v>
      </c>
      <c r="E595" s="32"/>
      <c r="F595" s="147"/>
      <c r="G595" s="33"/>
      <c r="H595" s="129"/>
      <c r="I595" s="29"/>
      <c r="J595" s="130"/>
      <c r="K595" s="129"/>
      <c r="L595" s="29"/>
      <c r="M595" s="130"/>
      <c r="N595" s="115"/>
      <c r="O595" s="115"/>
    </row>
    <row r="596" spans="1:15" s="25" customFormat="1" ht="27.75" x14ac:dyDescent="0.2">
      <c r="A596" s="581" t="s">
        <v>277</v>
      </c>
      <c r="B596" s="582" t="s">
        <v>1827</v>
      </c>
      <c r="C596" s="583" t="s">
        <v>961</v>
      </c>
      <c r="D596" s="584" t="s">
        <v>120</v>
      </c>
      <c r="E596" s="583" t="s">
        <v>314</v>
      </c>
      <c r="F596" s="585">
        <f>'MEMÓRIA DE CÁLCULO'!O184</f>
        <v>64.400000000000006</v>
      </c>
      <c r="G596" s="586"/>
      <c r="H596" s="587">
        <v>3.2200000000000006</v>
      </c>
      <c r="I596" s="588">
        <v>5.09</v>
      </c>
      <c r="J596" s="589">
        <f>H596+I596</f>
        <v>8.31</v>
      </c>
      <c r="K596" s="587">
        <f>H596*F596</f>
        <v>207.36800000000005</v>
      </c>
      <c r="L596" s="588">
        <f>I596*F596</f>
        <v>327.79599999999999</v>
      </c>
      <c r="M596" s="589">
        <f>K596+L596</f>
        <v>535.16399999999999</v>
      </c>
      <c r="N596" s="585">
        <f>M596*$N$7</f>
        <v>131.43627839999999</v>
      </c>
      <c r="O596" s="585">
        <f>ROUND(M596+N596,2)</f>
        <v>666.6</v>
      </c>
    </row>
    <row r="597" spans="1:15" s="25" customFormat="1" ht="14.25" x14ac:dyDescent="0.2">
      <c r="A597" s="166"/>
      <c r="B597" s="160"/>
      <c r="C597" s="31"/>
      <c r="D597" s="146" t="s">
        <v>288</v>
      </c>
      <c r="E597" s="32"/>
      <c r="F597" s="147"/>
      <c r="G597" s="33"/>
      <c r="H597" s="129"/>
      <c r="I597" s="29"/>
      <c r="J597" s="130"/>
      <c r="K597" s="129"/>
      <c r="L597" s="29"/>
      <c r="M597" s="130"/>
      <c r="N597" s="115"/>
      <c r="O597" s="115"/>
    </row>
    <row r="598" spans="1:15" s="25" customFormat="1" ht="15.75" x14ac:dyDescent="0.2">
      <c r="A598" s="187"/>
      <c r="B598" s="188"/>
      <c r="C598" s="189">
        <v>12</v>
      </c>
      <c r="D598" s="190" t="s">
        <v>182</v>
      </c>
      <c r="E598" s="191"/>
      <c r="F598" s="190"/>
      <c r="G598" s="191"/>
      <c r="H598" s="192"/>
      <c r="I598" s="193"/>
      <c r="J598" s="194"/>
      <c r="K598" s="192"/>
      <c r="L598" s="193"/>
      <c r="M598" s="194"/>
      <c r="N598" s="195"/>
      <c r="O598" s="196">
        <f>SUM(O600:O646)</f>
        <v>85734.549999999988</v>
      </c>
    </row>
    <row r="599" spans="1:15" s="25" customFormat="1" ht="14.25" x14ac:dyDescent="0.2">
      <c r="A599" s="166"/>
      <c r="B599" s="160"/>
      <c r="C599" s="31"/>
      <c r="D599" s="146" t="s">
        <v>288</v>
      </c>
      <c r="E599" s="32"/>
      <c r="F599" s="147"/>
      <c r="G599" s="33"/>
      <c r="H599" s="129"/>
      <c r="I599" s="29"/>
      <c r="J599" s="130"/>
      <c r="K599" s="129"/>
      <c r="L599" s="29"/>
      <c r="M599" s="130"/>
      <c r="N599" s="115"/>
      <c r="O599" s="115"/>
    </row>
    <row r="600" spans="1:15" s="356" customFormat="1" ht="11.25" x14ac:dyDescent="0.2">
      <c r="A600" s="402"/>
      <c r="B600" s="403"/>
      <c r="C600" s="404"/>
      <c r="D600" s="405" t="s">
        <v>431</v>
      </c>
      <c r="E600" s="406"/>
      <c r="F600" s="407"/>
      <c r="G600" s="408"/>
      <c r="H600" s="409"/>
      <c r="I600" s="410"/>
      <c r="J600" s="411"/>
      <c r="K600" s="409"/>
      <c r="L600" s="410"/>
      <c r="M600" s="411"/>
      <c r="N600" s="412"/>
      <c r="O600" s="412"/>
    </row>
    <row r="601" spans="1:15" s="25" customFormat="1" ht="14.25" x14ac:dyDescent="0.2">
      <c r="A601" s="166"/>
      <c r="B601" s="160"/>
      <c r="C601" s="31"/>
      <c r="D601" s="146" t="s">
        <v>288</v>
      </c>
      <c r="E601" s="32"/>
      <c r="F601" s="147"/>
      <c r="G601" s="33"/>
      <c r="H601" s="129"/>
      <c r="I601" s="29"/>
      <c r="J601" s="130"/>
      <c r="K601" s="129"/>
      <c r="L601" s="29"/>
      <c r="M601" s="130"/>
      <c r="N601" s="115"/>
      <c r="O601" s="115"/>
    </row>
    <row r="602" spans="1:15" s="25" customFormat="1" ht="14.25" x14ac:dyDescent="0.2">
      <c r="A602" s="166"/>
      <c r="B602" s="160"/>
      <c r="C602" s="31"/>
      <c r="D602" s="146" t="s">
        <v>288</v>
      </c>
      <c r="E602" s="32"/>
      <c r="F602" s="147"/>
      <c r="G602" s="33"/>
      <c r="H602" s="129"/>
      <c r="I602" s="29"/>
      <c r="J602" s="130"/>
      <c r="K602" s="129"/>
      <c r="L602" s="29"/>
      <c r="M602" s="130"/>
      <c r="N602" s="115"/>
      <c r="O602" s="115"/>
    </row>
    <row r="603" spans="1:15" s="25" customFormat="1" ht="22.5" x14ac:dyDescent="0.2">
      <c r="A603" s="581" t="s">
        <v>278</v>
      </c>
      <c r="B603" s="582" t="s">
        <v>519</v>
      </c>
      <c r="C603" s="583" t="s">
        <v>686</v>
      </c>
      <c r="D603" s="584" t="s">
        <v>520</v>
      </c>
      <c r="E603" s="583" t="s">
        <v>183</v>
      </c>
      <c r="F603" s="585">
        <f>'MEMÓRIA DE CÁLCULO'!I112</f>
        <v>6.8079999999999998</v>
      </c>
      <c r="G603" s="586"/>
      <c r="H603" s="588">
        <f>ROUND(SUM(H604:H608),2)</f>
        <v>160.44999999999999</v>
      </c>
      <c r="I603" s="588">
        <f>ROUND(SUM(I604:I608),2)</f>
        <v>32.24</v>
      </c>
      <c r="J603" s="589">
        <f>H603+I603</f>
        <v>192.69</v>
      </c>
      <c r="K603" s="587">
        <f>H603*F603</f>
        <v>1092.3435999999999</v>
      </c>
      <c r="L603" s="588">
        <f>I603*F603</f>
        <v>219.48992000000001</v>
      </c>
      <c r="M603" s="589">
        <f>K603+L603</f>
        <v>1311.8335199999999</v>
      </c>
      <c r="N603" s="585">
        <f>M603*$N$7</f>
        <v>322.18631251199997</v>
      </c>
      <c r="O603" s="585">
        <f>ROUND(M603+N603,2)</f>
        <v>1634.02</v>
      </c>
    </row>
    <row r="604" spans="1:15" s="356" customFormat="1" ht="11.25" x14ac:dyDescent="0.2">
      <c r="A604" s="357"/>
      <c r="B604" s="149"/>
      <c r="C604" s="152"/>
      <c r="D604" s="153" t="s">
        <v>208</v>
      </c>
      <c r="E604" s="34" t="s">
        <v>229</v>
      </c>
      <c r="F604" s="148">
        <v>1.5</v>
      </c>
      <c r="G604" s="35">
        <v>8.92</v>
      </c>
      <c r="H604" s="131"/>
      <c r="I604" s="30">
        <f>F604*G604</f>
        <v>13.379999999999999</v>
      </c>
      <c r="J604" s="132"/>
      <c r="K604" s="131"/>
      <c r="L604" s="30"/>
      <c r="M604" s="132"/>
      <c r="N604" s="115"/>
      <c r="O604" s="358"/>
    </row>
    <row r="605" spans="1:15" s="356" customFormat="1" ht="11.25" x14ac:dyDescent="0.2">
      <c r="A605" s="357"/>
      <c r="B605" s="159"/>
      <c r="C605" s="34"/>
      <c r="D605" s="153" t="s">
        <v>209</v>
      </c>
      <c r="E605" s="34" t="s">
        <v>229</v>
      </c>
      <c r="F605" s="148">
        <v>1.5</v>
      </c>
      <c r="G605" s="35">
        <v>12.57</v>
      </c>
      <c r="H605" s="131"/>
      <c r="I605" s="30">
        <f>F605*G605</f>
        <v>18.855</v>
      </c>
      <c r="J605" s="132"/>
      <c r="K605" s="131"/>
      <c r="L605" s="30"/>
      <c r="M605" s="132"/>
      <c r="N605" s="115"/>
      <c r="O605" s="358"/>
    </row>
    <row r="606" spans="1:15" s="356" customFormat="1" ht="11.25" x14ac:dyDescent="0.2">
      <c r="A606" s="357"/>
      <c r="B606" s="159"/>
      <c r="C606" s="34"/>
      <c r="D606" s="153" t="s">
        <v>521</v>
      </c>
      <c r="E606" s="34" t="s">
        <v>248</v>
      </c>
      <c r="F606" s="148">
        <v>3</v>
      </c>
      <c r="G606" s="35">
        <v>10.08</v>
      </c>
      <c r="H606" s="131">
        <f>F606*G606</f>
        <v>30.240000000000002</v>
      </c>
      <c r="I606" s="30"/>
      <c r="J606" s="132"/>
      <c r="K606" s="131"/>
      <c r="L606" s="30"/>
      <c r="M606" s="132"/>
      <c r="N606" s="115"/>
      <c r="O606" s="358"/>
    </row>
    <row r="607" spans="1:15" s="356" customFormat="1" ht="11.25" x14ac:dyDescent="0.2">
      <c r="A607" s="357"/>
      <c r="B607" s="159"/>
      <c r="C607" s="34"/>
      <c r="D607" s="153" t="s">
        <v>522</v>
      </c>
      <c r="E607" s="34" t="s">
        <v>253</v>
      </c>
      <c r="F607" s="148">
        <v>1.1000000000000001</v>
      </c>
      <c r="G607" s="35">
        <v>117.28</v>
      </c>
      <c r="H607" s="131">
        <f>F607*G607</f>
        <v>129.00800000000001</v>
      </c>
      <c r="I607" s="30"/>
      <c r="J607" s="132"/>
      <c r="K607" s="131"/>
      <c r="L607" s="30"/>
      <c r="M607" s="132"/>
      <c r="N607" s="115"/>
      <c r="O607" s="358"/>
    </row>
    <row r="608" spans="1:15" s="356" customFormat="1" ht="11.25" x14ac:dyDescent="0.2">
      <c r="A608" s="357"/>
      <c r="B608" s="159"/>
      <c r="C608" s="34"/>
      <c r="D608" s="153" t="s">
        <v>523</v>
      </c>
      <c r="E608" s="34" t="s">
        <v>237</v>
      </c>
      <c r="F608" s="148">
        <v>0.26</v>
      </c>
      <c r="G608" s="35">
        <v>4.63</v>
      </c>
      <c r="H608" s="131">
        <f>F608*G608</f>
        <v>1.2038</v>
      </c>
      <c r="I608" s="30"/>
      <c r="J608" s="132"/>
      <c r="K608" s="131"/>
      <c r="L608" s="30"/>
      <c r="M608" s="132"/>
      <c r="N608" s="115"/>
      <c r="O608" s="358"/>
    </row>
    <row r="609" spans="1:15" s="356" customFormat="1" ht="11.25" x14ac:dyDescent="0.2">
      <c r="A609" s="359"/>
      <c r="B609" s="160"/>
      <c r="C609" s="31"/>
      <c r="D609" s="146" t="s">
        <v>288</v>
      </c>
      <c r="E609" s="32"/>
      <c r="F609" s="147"/>
      <c r="G609" s="33"/>
      <c r="H609" s="129"/>
      <c r="I609" s="29"/>
      <c r="J609" s="130"/>
      <c r="K609" s="129"/>
      <c r="L609" s="29"/>
      <c r="M609" s="130"/>
      <c r="N609" s="115"/>
      <c r="O609" s="358"/>
    </row>
    <row r="610" spans="1:15" s="25" customFormat="1" ht="33.75" x14ac:dyDescent="0.2">
      <c r="A610" s="581" t="s">
        <v>277</v>
      </c>
      <c r="B610" s="582" t="s">
        <v>1020</v>
      </c>
      <c r="C610" s="583" t="s">
        <v>687</v>
      </c>
      <c r="D610" s="584" t="s">
        <v>1019</v>
      </c>
      <c r="E610" s="583" t="s">
        <v>253</v>
      </c>
      <c r="F610" s="585">
        <v>15.5</v>
      </c>
      <c r="G610" s="586"/>
      <c r="H610" s="587">
        <v>74.98</v>
      </c>
      <c r="I610" s="588"/>
      <c r="J610" s="589">
        <f>H610+I610</f>
        <v>74.98</v>
      </c>
      <c r="K610" s="587">
        <f>H610*F610</f>
        <v>1162.19</v>
      </c>
      <c r="L610" s="588">
        <f>I610*F610</f>
        <v>0</v>
      </c>
      <c r="M610" s="589">
        <f>K610+L610</f>
        <v>1162.19</v>
      </c>
      <c r="N610" s="585">
        <f>M610*$N$7</f>
        <v>285.43386400000003</v>
      </c>
      <c r="O610" s="585">
        <f>ROUND(M610+N610,2)</f>
        <v>1447.62</v>
      </c>
    </row>
    <row r="611" spans="1:15" s="356" customFormat="1" ht="27" x14ac:dyDescent="0.2">
      <c r="A611" s="359"/>
      <c r="B611" s="592" t="s">
        <v>1021</v>
      </c>
      <c r="C611" s="31"/>
      <c r="D611" s="146" t="s">
        <v>288</v>
      </c>
      <c r="E611" s="32"/>
      <c r="F611" s="147"/>
      <c r="G611" s="33"/>
      <c r="H611" s="129"/>
      <c r="I611" s="29"/>
      <c r="J611" s="130"/>
      <c r="K611" s="129"/>
      <c r="L611" s="29"/>
      <c r="M611" s="130"/>
      <c r="N611" s="115"/>
      <c r="O611" s="358"/>
    </row>
    <row r="612" spans="1:15" s="356" customFormat="1" ht="11.25" x14ac:dyDescent="0.2">
      <c r="A612" s="402"/>
      <c r="B612" s="403"/>
      <c r="C612" s="404"/>
      <c r="D612" s="405" t="s">
        <v>435</v>
      </c>
      <c r="E612" s="406"/>
      <c r="F612" s="407"/>
      <c r="G612" s="408"/>
      <c r="H612" s="409"/>
      <c r="I612" s="410"/>
      <c r="J612" s="411"/>
      <c r="K612" s="409"/>
      <c r="L612" s="410"/>
      <c r="M612" s="411"/>
      <c r="N612" s="412"/>
      <c r="O612" s="412"/>
    </row>
    <row r="613" spans="1:15" s="25" customFormat="1" ht="14.25" x14ac:dyDescent="0.2">
      <c r="A613" s="166"/>
      <c r="B613" s="160"/>
      <c r="C613" s="31"/>
      <c r="D613" s="146" t="s">
        <v>288</v>
      </c>
      <c r="E613" s="32"/>
      <c r="F613" s="147"/>
      <c r="G613" s="33"/>
      <c r="H613" s="129"/>
      <c r="I613" s="29"/>
      <c r="J613" s="130"/>
      <c r="K613" s="129"/>
      <c r="L613" s="29"/>
      <c r="M613" s="130"/>
      <c r="N613" s="115"/>
      <c r="O613" s="115"/>
    </row>
    <row r="614" spans="1:15" s="25" customFormat="1" ht="14.25" x14ac:dyDescent="0.2">
      <c r="A614" s="581" t="s">
        <v>43</v>
      </c>
      <c r="B614" s="582" t="s">
        <v>63</v>
      </c>
      <c r="C614" s="583" t="s">
        <v>962</v>
      </c>
      <c r="D614" s="584" t="s">
        <v>1015</v>
      </c>
      <c r="E614" s="583" t="s">
        <v>253</v>
      </c>
      <c r="F614" s="585">
        <f>'MEMÓRIA DE CÁLCULO'!D122</f>
        <v>5</v>
      </c>
      <c r="G614" s="586"/>
      <c r="H614" s="587">
        <v>12.5</v>
      </c>
      <c r="I614" s="588">
        <v>9.35</v>
      </c>
      <c r="J614" s="589">
        <f>H614+I614</f>
        <v>21.85</v>
      </c>
      <c r="K614" s="587">
        <f>H614*F614</f>
        <v>62.5</v>
      </c>
      <c r="L614" s="588">
        <f>I614*F614</f>
        <v>46.75</v>
      </c>
      <c r="M614" s="589">
        <f>K614+L614</f>
        <v>109.25</v>
      </c>
      <c r="N614" s="585">
        <f>M614*$N$7</f>
        <v>26.831800000000001</v>
      </c>
      <c r="O614" s="585">
        <f>ROUND(M614+N614,2)</f>
        <v>136.08000000000001</v>
      </c>
    </row>
    <row r="615" spans="1:15" s="25" customFormat="1" ht="14.25" x14ac:dyDescent="0.2">
      <c r="A615" s="166"/>
      <c r="B615" s="160"/>
      <c r="C615" s="31"/>
      <c r="D615" s="146" t="s">
        <v>288</v>
      </c>
      <c r="E615" s="32"/>
      <c r="F615" s="147"/>
      <c r="G615" s="33"/>
      <c r="H615" s="129"/>
      <c r="I615" s="29"/>
      <c r="J615" s="130"/>
      <c r="K615" s="129"/>
      <c r="L615" s="29"/>
      <c r="M615" s="130"/>
      <c r="N615" s="115"/>
      <c r="O615" s="115"/>
    </row>
    <row r="616" spans="1:15" s="25" customFormat="1" ht="18.75" customHeight="1" x14ac:dyDescent="0.2">
      <c r="A616" s="581" t="s">
        <v>278</v>
      </c>
      <c r="B616" s="591">
        <v>10006000009</v>
      </c>
      <c r="C616" s="583" t="s">
        <v>688</v>
      </c>
      <c r="D616" s="590" t="s">
        <v>1014</v>
      </c>
      <c r="E616" s="583" t="s">
        <v>183</v>
      </c>
      <c r="F616" s="585">
        <f>F624</f>
        <v>437.43</v>
      </c>
      <c r="G616" s="586"/>
      <c r="H616" s="588">
        <f>ROUND(SUM(H617:H620),2)</f>
        <v>8.2899999999999991</v>
      </c>
      <c r="I616" s="588">
        <f>ROUND(SUM(I617:I620),2)</f>
        <v>2.23</v>
      </c>
      <c r="J616" s="589">
        <f>H616+I616</f>
        <v>10.52</v>
      </c>
      <c r="K616" s="587">
        <f>H616*F616</f>
        <v>3626.2946999999995</v>
      </c>
      <c r="L616" s="588">
        <f>I616*F616</f>
        <v>975.46889999999996</v>
      </c>
      <c r="M616" s="589">
        <f>K616+L616</f>
        <v>4601.7635999999993</v>
      </c>
      <c r="N616" s="585">
        <f>M616*$N$7</f>
        <v>1130.19314016</v>
      </c>
      <c r="O616" s="585">
        <f>ROUND(M616+N616,2)</f>
        <v>5731.96</v>
      </c>
    </row>
    <row r="617" spans="1:15" s="356" customFormat="1" ht="11.25" x14ac:dyDescent="0.2">
      <c r="A617" s="357"/>
      <c r="B617" s="159"/>
      <c r="C617" s="34"/>
      <c r="D617" s="153" t="s">
        <v>207</v>
      </c>
      <c r="E617" s="34" t="s">
        <v>229</v>
      </c>
      <c r="F617" s="148">
        <v>0.25</v>
      </c>
      <c r="G617" s="35">
        <v>8.92</v>
      </c>
      <c r="H617" s="131"/>
      <c r="I617" s="30">
        <f>F617*G617</f>
        <v>2.23</v>
      </c>
      <c r="J617" s="132"/>
      <c r="K617" s="131"/>
      <c r="L617" s="30"/>
      <c r="M617" s="132"/>
      <c r="N617" s="115"/>
      <c r="O617" s="358"/>
    </row>
    <row r="618" spans="1:15" s="356" customFormat="1" ht="11.25" x14ac:dyDescent="0.2">
      <c r="A618" s="357"/>
      <c r="B618" s="159"/>
      <c r="C618" s="34"/>
      <c r="D618" s="153" t="s">
        <v>1006</v>
      </c>
      <c r="E618" s="34" t="s">
        <v>1009</v>
      </c>
      <c r="F618" s="148">
        <v>2.2440000000000002E-2</v>
      </c>
      <c r="G618" s="35">
        <v>54.27</v>
      </c>
      <c r="H618" s="131">
        <f>F618*G618</f>
        <v>1.2178188000000001</v>
      </c>
      <c r="I618" s="30"/>
      <c r="J618" s="132"/>
      <c r="K618" s="131"/>
      <c r="L618" s="30"/>
      <c r="M618" s="132"/>
      <c r="N618" s="115"/>
      <c r="O618" s="358"/>
    </row>
    <row r="619" spans="1:15" s="356" customFormat="1" ht="11.25" x14ac:dyDescent="0.2">
      <c r="A619" s="357"/>
      <c r="B619" s="159"/>
      <c r="C619" s="34"/>
      <c r="D619" s="153" t="s">
        <v>1007</v>
      </c>
      <c r="E619" s="34" t="s">
        <v>237</v>
      </c>
      <c r="F619" s="148">
        <v>7.3</v>
      </c>
      <c r="G619" s="35">
        <v>0.44</v>
      </c>
      <c r="H619" s="131">
        <f>F619*G619</f>
        <v>3.2119999999999997</v>
      </c>
      <c r="I619" s="30"/>
      <c r="J619" s="132"/>
      <c r="K619" s="131"/>
      <c r="L619" s="30"/>
      <c r="M619" s="132"/>
      <c r="N619" s="115"/>
      <c r="O619" s="358"/>
    </row>
    <row r="620" spans="1:15" s="356" customFormat="1" ht="11.25" x14ac:dyDescent="0.2">
      <c r="A620" s="357"/>
      <c r="B620" s="159"/>
      <c r="C620" s="34"/>
      <c r="D620" s="153" t="s">
        <v>1008</v>
      </c>
      <c r="E620" s="34" t="s">
        <v>1010</v>
      </c>
      <c r="F620" s="148">
        <v>0.8</v>
      </c>
      <c r="G620" s="35">
        <v>4.83</v>
      </c>
      <c r="H620" s="131">
        <f>F620*G620</f>
        <v>3.8640000000000003</v>
      </c>
      <c r="I620" s="30"/>
      <c r="J620" s="132"/>
      <c r="K620" s="131"/>
      <c r="L620" s="30"/>
      <c r="M620" s="132"/>
      <c r="N620" s="115"/>
      <c r="O620" s="358"/>
    </row>
    <row r="621" spans="1:15" s="356" customFormat="1" ht="11.25" x14ac:dyDescent="0.2">
      <c r="A621" s="359"/>
      <c r="B621" s="160"/>
      <c r="C621" s="31"/>
      <c r="D621" s="146" t="s">
        <v>288</v>
      </c>
      <c r="E621" s="32"/>
      <c r="F621" s="147"/>
      <c r="G621" s="33"/>
      <c r="H621" s="129"/>
      <c r="I621" s="29"/>
      <c r="J621" s="130"/>
      <c r="K621" s="129"/>
      <c r="L621" s="29"/>
      <c r="M621" s="130"/>
      <c r="N621" s="115"/>
      <c r="O621" s="358"/>
    </row>
    <row r="622" spans="1:15" s="25" customFormat="1" ht="22.5" x14ac:dyDescent="0.2">
      <c r="A622" s="581" t="s">
        <v>43</v>
      </c>
      <c r="B622" s="582">
        <v>84190</v>
      </c>
      <c r="C622" s="583" t="s">
        <v>689</v>
      </c>
      <c r="D622" s="584" t="s">
        <v>899</v>
      </c>
      <c r="E622" s="583" t="s">
        <v>253</v>
      </c>
      <c r="F622" s="585">
        <v>3</v>
      </c>
      <c r="G622" s="586"/>
      <c r="H622" s="587">
        <v>193.01</v>
      </c>
      <c r="I622" s="588">
        <v>15.41</v>
      </c>
      <c r="J622" s="589">
        <f>H622+I622</f>
        <v>208.42</v>
      </c>
      <c r="K622" s="587">
        <f>H622*F622</f>
        <v>579.03</v>
      </c>
      <c r="L622" s="588">
        <f>I622*F622</f>
        <v>46.230000000000004</v>
      </c>
      <c r="M622" s="589">
        <f>K622+L622</f>
        <v>625.26</v>
      </c>
      <c r="N622" s="585">
        <f>M622*$N$7</f>
        <v>153.56385600000002</v>
      </c>
      <c r="O622" s="585">
        <f>ROUND(M622+N622,2)</f>
        <v>778.82</v>
      </c>
    </row>
    <row r="623" spans="1:15" s="25" customFormat="1" ht="14.25" x14ac:dyDescent="0.2">
      <c r="A623" s="166"/>
      <c r="B623" s="160"/>
      <c r="C623" s="31"/>
      <c r="D623" s="146" t="s">
        <v>288</v>
      </c>
      <c r="E623" s="32"/>
      <c r="F623" s="147"/>
      <c r="G623" s="33"/>
      <c r="H623" s="129"/>
      <c r="I623" s="29"/>
      <c r="J623" s="130"/>
      <c r="K623" s="129"/>
      <c r="L623" s="29"/>
      <c r="M623" s="130"/>
      <c r="N623" s="115"/>
      <c r="O623" s="115"/>
    </row>
    <row r="624" spans="1:15" s="25" customFormat="1" ht="33.75" x14ac:dyDescent="0.2">
      <c r="A624" s="581" t="s">
        <v>140</v>
      </c>
      <c r="B624" s="582">
        <v>87250</v>
      </c>
      <c r="C624" s="583" t="s">
        <v>963</v>
      </c>
      <c r="D624" s="584" t="s">
        <v>685</v>
      </c>
      <c r="E624" s="583" t="s">
        <v>253</v>
      </c>
      <c r="F624" s="585">
        <f>'MEMÓRIA DE CÁLCULO'!F59</f>
        <v>437.43</v>
      </c>
      <c r="G624" s="586"/>
      <c r="H624" s="587">
        <v>30.95</v>
      </c>
      <c r="I624" s="588">
        <v>8.24</v>
      </c>
      <c r="J624" s="589">
        <f>H624+I624</f>
        <v>39.19</v>
      </c>
      <c r="K624" s="587">
        <f>H624*F624</f>
        <v>13538.458500000001</v>
      </c>
      <c r="L624" s="588">
        <f>I624*F624</f>
        <v>3604.4232000000002</v>
      </c>
      <c r="M624" s="589">
        <f>K624+L624</f>
        <v>17142.881700000002</v>
      </c>
      <c r="N624" s="585">
        <f>M624*$N$7</f>
        <v>4210.2917455200004</v>
      </c>
      <c r="O624" s="585">
        <f>ROUND(M624+N624,2)</f>
        <v>21353.17</v>
      </c>
    </row>
    <row r="625" spans="1:15" s="25" customFormat="1" ht="14.25" x14ac:dyDescent="0.2">
      <c r="A625" s="166"/>
      <c r="B625" s="160"/>
      <c r="C625" s="31"/>
      <c r="D625" s="146" t="s">
        <v>288</v>
      </c>
      <c r="E625" s="32"/>
      <c r="F625" s="147"/>
      <c r="G625" s="33"/>
      <c r="H625" s="129"/>
      <c r="I625" s="29"/>
      <c r="J625" s="130"/>
      <c r="K625" s="129"/>
      <c r="L625" s="29"/>
      <c r="M625" s="130"/>
      <c r="N625" s="115"/>
      <c r="O625" s="115"/>
    </row>
    <row r="626" spans="1:15" s="25" customFormat="1" ht="33.75" x14ac:dyDescent="0.2">
      <c r="A626" s="581" t="s">
        <v>140</v>
      </c>
      <c r="B626" s="582" t="s">
        <v>201</v>
      </c>
      <c r="C626" s="583" t="s">
        <v>690</v>
      </c>
      <c r="D626" s="584" t="s">
        <v>62</v>
      </c>
      <c r="E626" s="583" t="s">
        <v>310</v>
      </c>
      <c r="F626" s="585">
        <v>1.7</v>
      </c>
      <c r="G626" s="586"/>
      <c r="H626" s="587">
        <v>485.61</v>
      </c>
      <c r="I626" s="588">
        <f>1.01*13.53</f>
        <v>13.6653</v>
      </c>
      <c r="J626" s="589">
        <f>H626+I626</f>
        <v>499.27530000000002</v>
      </c>
      <c r="K626" s="587">
        <f>H626*F626</f>
        <v>825.53700000000003</v>
      </c>
      <c r="L626" s="588">
        <f>I626*F626</f>
        <v>23.231010000000001</v>
      </c>
      <c r="M626" s="589">
        <f>K626+L626</f>
        <v>848.76801</v>
      </c>
      <c r="N626" s="585">
        <f>M626*$N$7</f>
        <v>208.457423256</v>
      </c>
      <c r="O626" s="585">
        <f>ROUND(M626+N626,2)</f>
        <v>1057.23</v>
      </c>
    </row>
    <row r="627" spans="1:15" s="356" customFormat="1" ht="11.25" x14ac:dyDescent="0.2">
      <c r="A627" s="424"/>
      <c r="B627" s="425"/>
      <c r="C627" s="426"/>
      <c r="D627" s="427" t="s">
        <v>436</v>
      </c>
      <c r="E627" s="428"/>
      <c r="F627" s="429"/>
      <c r="G627" s="430"/>
      <c r="H627" s="431"/>
      <c r="I627" s="432"/>
      <c r="J627" s="433"/>
      <c r="K627" s="431"/>
      <c r="L627" s="432"/>
      <c r="M627" s="433"/>
      <c r="N627" s="434"/>
      <c r="O627" s="434"/>
    </row>
    <row r="628" spans="1:15" s="25" customFormat="1" ht="14.25" x14ac:dyDescent="0.2">
      <c r="A628" s="166"/>
      <c r="B628" s="160"/>
      <c r="C628" s="31"/>
      <c r="D628" s="146" t="s">
        <v>288</v>
      </c>
      <c r="E628" s="32"/>
      <c r="F628" s="147"/>
      <c r="G628" s="33"/>
      <c r="H628" s="129"/>
      <c r="I628" s="29"/>
      <c r="J628" s="130"/>
      <c r="K628" s="129"/>
      <c r="L628" s="29"/>
      <c r="M628" s="130"/>
      <c r="N628" s="115"/>
      <c r="O628" s="115"/>
    </row>
    <row r="629" spans="1:15" s="25" customFormat="1" ht="18.75" customHeight="1" x14ac:dyDescent="0.2">
      <c r="A629" s="581" t="s">
        <v>278</v>
      </c>
      <c r="B629" s="591">
        <v>10006000009</v>
      </c>
      <c r="C629" s="583" t="s">
        <v>691</v>
      </c>
      <c r="D629" s="590" t="s">
        <v>1014</v>
      </c>
      <c r="E629" s="583" t="s">
        <v>183</v>
      </c>
      <c r="F629" s="585">
        <f>F635</f>
        <v>436.88999999999993</v>
      </c>
      <c r="G629" s="586"/>
      <c r="H629" s="588">
        <f>ROUND(SUM(H630:H633),2)</f>
        <v>8.2899999999999991</v>
      </c>
      <c r="I629" s="588">
        <f>ROUND(SUM(I630:I633),2)</f>
        <v>2.23</v>
      </c>
      <c r="J629" s="589">
        <f>H629+I629</f>
        <v>10.52</v>
      </c>
      <c r="K629" s="587">
        <f>H629*F629</f>
        <v>3621.818099999999</v>
      </c>
      <c r="L629" s="588">
        <f>I629*F629</f>
        <v>974.26469999999983</v>
      </c>
      <c r="M629" s="589">
        <f>K629+L629</f>
        <v>4596.0827999999992</v>
      </c>
      <c r="N629" s="585">
        <f>M629*$N$7</f>
        <v>1128.7979356799999</v>
      </c>
      <c r="O629" s="585">
        <f>ROUND(M629+N629,2)</f>
        <v>5724.88</v>
      </c>
    </row>
    <row r="630" spans="1:15" s="356" customFormat="1" ht="11.25" x14ac:dyDescent="0.2">
      <c r="A630" s="357"/>
      <c r="B630" s="159"/>
      <c r="C630" s="34"/>
      <c r="D630" s="153" t="s">
        <v>207</v>
      </c>
      <c r="E630" s="34" t="s">
        <v>229</v>
      </c>
      <c r="F630" s="148">
        <v>0.25</v>
      </c>
      <c r="G630" s="35">
        <v>8.92</v>
      </c>
      <c r="H630" s="131"/>
      <c r="I630" s="30">
        <f>F630*G630</f>
        <v>2.23</v>
      </c>
      <c r="J630" s="132"/>
      <c r="K630" s="131"/>
      <c r="L630" s="30"/>
      <c r="M630" s="132"/>
      <c r="N630" s="115"/>
      <c r="O630" s="358"/>
    </row>
    <row r="631" spans="1:15" s="356" customFormat="1" ht="11.25" x14ac:dyDescent="0.2">
      <c r="A631" s="357"/>
      <c r="B631" s="159"/>
      <c r="C631" s="34"/>
      <c r="D631" s="153" t="s">
        <v>1006</v>
      </c>
      <c r="E631" s="34" t="s">
        <v>1009</v>
      </c>
      <c r="F631" s="148">
        <v>2.2440000000000002E-2</v>
      </c>
      <c r="G631" s="35">
        <v>54.27</v>
      </c>
      <c r="H631" s="131">
        <f>F631*G631</f>
        <v>1.2178188000000001</v>
      </c>
      <c r="I631" s="30"/>
      <c r="J631" s="132"/>
      <c r="K631" s="131"/>
      <c r="L631" s="30"/>
      <c r="M631" s="132"/>
      <c r="N631" s="115"/>
      <c r="O631" s="358"/>
    </row>
    <row r="632" spans="1:15" s="356" customFormat="1" ht="11.25" x14ac:dyDescent="0.2">
      <c r="A632" s="357"/>
      <c r="B632" s="159"/>
      <c r="C632" s="34"/>
      <c r="D632" s="153" t="s">
        <v>1007</v>
      </c>
      <c r="E632" s="34" t="s">
        <v>237</v>
      </c>
      <c r="F632" s="148">
        <v>7.3</v>
      </c>
      <c r="G632" s="35">
        <v>0.44</v>
      </c>
      <c r="H632" s="131">
        <f>F632*G632</f>
        <v>3.2119999999999997</v>
      </c>
      <c r="I632" s="30"/>
      <c r="J632" s="132"/>
      <c r="K632" s="131"/>
      <c r="L632" s="30"/>
      <c r="M632" s="132"/>
      <c r="N632" s="115"/>
      <c r="O632" s="358"/>
    </row>
    <row r="633" spans="1:15" s="356" customFormat="1" ht="11.25" x14ac:dyDescent="0.2">
      <c r="A633" s="357"/>
      <c r="B633" s="159"/>
      <c r="C633" s="34"/>
      <c r="D633" s="153" t="s">
        <v>1008</v>
      </c>
      <c r="E633" s="34" t="s">
        <v>1010</v>
      </c>
      <c r="F633" s="148">
        <v>0.8</v>
      </c>
      <c r="G633" s="35">
        <v>4.83</v>
      </c>
      <c r="H633" s="131">
        <f>F633*G633</f>
        <v>3.8640000000000003</v>
      </c>
      <c r="I633" s="30"/>
      <c r="J633" s="132"/>
      <c r="K633" s="131"/>
      <c r="L633" s="30"/>
      <c r="M633" s="132"/>
      <c r="N633" s="115"/>
      <c r="O633" s="358"/>
    </row>
    <row r="634" spans="1:15" s="356" customFormat="1" ht="11.25" x14ac:dyDescent="0.2">
      <c r="A634" s="359"/>
      <c r="B634" s="160"/>
      <c r="C634" s="31"/>
      <c r="D634" s="146" t="s">
        <v>288</v>
      </c>
      <c r="E634" s="32"/>
      <c r="F634" s="147"/>
      <c r="G634" s="33"/>
      <c r="H634" s="129"/>
      <c r="I634" s="29"/>
      <c r="J634" s="130"/>
      <c r="K634" s="129"/>
      <c r="L634" s="29"/>
      <c r="M634" s="130"/>
      <c r="N634" s="115"/>
      <c r="O634" s="358"/>
    </row>
    <row r="635" spans="1:15" s="25" customFormat="1" ht="33.75" x14ac:dyDescent="0.2">
      <c r="A635" s="581" t="s">
        <v>140</v>
      </c>
      <c r="B635" s="582">
        <v>87250</v>
      </c>
      <c r="C635" s="583" t="s">
        <v>964</v>
      </c>
      <c r="D635" s="584" t="s">
        <v>685</v>
      </c>
      <c r="E635" s="583" t="s">
        <v>310</v>
      </c>
      <c r="F635" s="585">
        <f>'MEMÓRIA DE CÁLCULO'!F82</f>
        <v>436.88999999999993</v>
      </c>
      <c r="G635" s="586"/>
      <c r="H635" s="587">
        <v>30.95</v>
      </c>
      <c r="I635" s="588">
        <v>8.24</v>
      </c>
      <c r="J635" s="589">
        <f>H635+I635</f>
        <v>39.19</v>
      </c>
      <c r="K635" s="587">
        <f>H635*F635</f>
        <v>13521.745499999997</v>
      </c>
      <c r="L635" s="588">
        <f>I635*F635</f>
        <v>3599.9735999999994</v>
      </c>
      <c r="M635" s="589">
        <f>K635+L635</f>
        <v>17121.719099999995</v>
      </c>
      <c r="N635" s="585">
        <f>M635*$N$7</f>
        <v>4205.0942109599991</v>
      </c>
      <c r="O635" s="585">
        <f>ROUND(M635+N635,2)</f>
        <v>21326.81</v>
      </c>
    </row>
    <row r="636" spans="1:15" s="25" customFormat="1" ht="14.25" x14ac:dyDescent="0.2">
      <c r="A636" s="166"/>
      <c r="B636" s="160"/>
      <c r="C636" s="31"/>
      <c r="D636" s="146" t="s">
        <v>288</v>
      </c>
      <c r="E636" s="32"/>
      <c r="F636" s="147"/>
      <c r="G636" s="33"/>
      <c r="H636" s="129"/>
      <c r="I636" s="29"/>
      <c r="J636" s="130"/>
      <c r="K636" s="129"/>
      <c r="L636" s="29"/>
      <c r="M636" s="130"/>
      <c r="N636" s="115"/>
      <c r="O636" s="115"/>
    </row>
    <row r="637" spans="1:15" s="356" customFormat="1" ht="11.25" x14ac:dyDescent="0.2">
      <c r="A637" s="413"/>
      <c r="B637" s="414"/>
      <c r="C637" s="415"/>
      <c r="D637" s="416" t="s">
        <v>437</v>
      </c>
      <c r="E637" s="417"/>
      <c r="F637" s="418"/>
      <c r="G637" s="419"/>
      <c r="H637" s="420"/>
      <c r="I637" s="421"/>
      <c r="J637" s="422"/>
      <c r="K637" s="420"/>
      <c r="L637" s="421"/>
      <c r="M637" s="422"/>
      <c r="N637" s="423"/>
      <c r="O637" s="423"/>
    </row>
    <row r="638" spans="1:15" s="25" customFormat="1" ht="14.25" x14ac:dyDescent="0.2">
      <c r="A638" s="166"/>
      <c r="B638" s="160"/>
      <c r="C638" s="31"/>
      <c r="D638" s="146" t="s">
        <v>288</v>
      </c>
      <c r="E638" s="32"/>
      <c r="F638" s="147"/>
      <c r="G638" s="33"/>
      <c r="H638" s="129"/>
      <c r="I638" s="29"/>
      <c r="J638" s="130"/>
      <c r="K638" s="129"/>
      <c r="L638" s="29"/>
      <c r="M638" s="130"/>
      <c r="N638" s="115"/>
      <c r="O638" s="115"/>
    </row>
    <row r="639" spans="1:15" s="25" customFormat="1" ht="18.75" customHeight="1" x14ac:dyDescent="0.2">
      <c r="A639" s="581" t="s">
        <v>278</v>
      </c>
      <c r="B639" s="591">
        <v>10006000009</v>
      </c>
      <c r="C639" s="583" t="s">
        <v>691</v>
      </c>
      <c r="D639" s="590" t="s">
        <v>1014</v>
      </c>
      <c r="E639" s="583" t="s">
        <v>183</v>
      </c>
      <c r="F639" s="585">
        <f>F645</f>
        <v>428.69</v>
      </c>
      <c r="G639" s="586"/>
      <c r="H639" s="588">
        <f>ROUND(SUM(H640:H643),2)</f>
        <v>8.2899999999999991</v>
      </c>
      <c r="I639" s="588">
        <f>ROUND(SUM(I640:I643),2)</f>
        <v>2.23</v>
      </c>
      <c r="J639" s="589">
        <f>H639+I639</f>
        <v>10.52</v>
      </c>
      <c r="K639" s="587">
        <f>H639*F639</f>
        <v>3553.8400999999994</v>
      </c>
      <c r="L639" s="588">
        <f>I639*F639</f>
        <v>955.9787</v>
      </c>
      <c r="M639" s="589">
        <f>K639+L639</f>
        <v>4509.8187999999991</v>
      </c>
      <c r="N639" s="585">
        <f>M639*$N$7</f>
        <v>1107.6114972799999</v>
      </c>
      <c r="O639" s="585">
        <f>ROUND(M639+N639,2)</f>
        <v>5617.43</v>
      </c>
    </row>
    <row r="640" spans="1:15" s="356" customFormat="1" ht="11.25" x14ac:dyDescent="0.2">
      <c r="A640" s="357"/>
      <c r="B640" s="159"/>
      <c r="C640" s="34"/>
      <c r="D640" s="153" t="s">
        <v>207</v>
      </c>
      <c r="E640" s="34" t="s">
        <v>229</v>
      </c>
      <c r="F640" s="148">
        <v>0.25</v>
      </c>
      <c r="G640" s="35">
        <v>8.92</v>
      </c>
      <c r="H640" s="131"/>
      <c r="I640" s="30">
        <f>F640*G640</f>
        <v>2.23</v>
      </c>
      <c r="J640" s="132"/>
      <c r="K640" s="131"/>
      <c r="L640" s="30"/>
      <c r="M640" s="132"/>
      <c r="N640" s="115"/>
      <c r="O640" s="358"/>
    </row>
    <row r="641" spans="1:16" s="356" customFormat="1" ht="11.25" x14ac:dyDescent="0.2">
      <c r="A641" s="357"/>
      <c r="B641" s="159"/>
      <c r="C641" s="34"/>
      <c r="D641" s="153" t="s">
        <v>1006</v>
      </c>
      <c r="E641" s="34" t="s">
        <v>1009</v>
      </c>
      <c r="F641" s="148">
        <v>2.2440000000000002E-2</v>
      </c>
      <c r="G641" s="35">
        <v>54.27</v>
      </c>
      <c r="H641" s="131">
        <f>F641*G641</f>
        <v>1.2178188000000001</v>
      </c>
      <c r="I641" s="30"/>
      <c r="J641" s="132"/>
      <c r="K641" s="131"/>
      <c r="L641" s="30"/>
      <c r="M641" s="132"/>
      <c r="N641" s="115"/>
      <c r="O641" s="358"/>
    </row>
    <row r="642" spans="1:16" s="356" customFormat="1" ht="11.25" x14ac:dyDescent="0.2">
      <c r="A642" s="357"/>
      <c r="B642" s="159"/>
      <c r="C642" s="34"/>
      <c r="D642" s="153" t="s">
        <v>1007</v>
      </c>
      <c r="E642" s="34" t="s">
        <v>237</v>
      </c>
      <c r="F642" s="148">
        <v>7.3</v>
      </c>
      <c r="G642" s="35">
        <v>0.44</v>
      </c>
      <c r="H642" s="131">
        <f>F642*G642</f>
        <v>3.2119999999999997</v>
      </c>
      <c r="I642" s="30"/>
      <c r="J642" s="132"/>
      <c r="K642" s="131"/>
      <c r="L642" s="30"/>
      <c r="M642" s="132"/>
      <c r="N642" s="115"/>
      <c r="O642" s="358"/>
    </row>
    <row r="643" spans="1:16" s="356" customFormat="1" ht="11.25" x14ac:dyDescent="0.2">
      <c r="A643" s="357"/>
      <c r="B643" s="159"/>
      <c r="C643" s="34"/>
      <c r="D643" s="153" t="s">
        <v>1008</v>
      </c>
      <c r="E643" s="34" t="s">
        <v>1010</v>
      </c>
      <c r="F643" s="148">
        <v>0.8</v>
      </c>
      <c r="G643" s="35">
        <v>4.83</v>
      </c>
      <c r="H643" s="131">
        <f>F643*G643</f>
        <v>3.8640000000000003</v>
      </c>
      <c r="I643" s="30"/>
      <c r="J643" s="132"/>
      <c r="K643" s="131"/>
      <c r="L643" s="30"/>
      <c r="M643" s="132"/>
      <c r="N643" s="115"/>
      <c r="O643" s="358"/>
    </row>
    <row r="644" spans="1:16" s="356" customFormat="1" ht="11.25" x14ac:dyDescent="0.2">
      <c r="A644" s="359"/>
      <c r="B644" s="160"/>
      <c r="C644" s="31"/>
      <c r="D644" s="146" t="s">
        <v>288</v>
      </c>
      <c r="E644" s="32"/>
      <c r="F644" s="147"/>
      <c r="G644" s="33"/>
      <c r="H644" s="129"/>
      <c r="I644" s="29"/>
      <c r="J644" s="130"/>
      <c r="K644" s="129"/>
      <c r="L644" s="29"/>
      <c r="M644" s="130"/>
      <c r="N644" s="115"/>
      <c r="O644" s="358"/>
    </row>
    <row r="645" spans="1:16" s="25" customFormat="1" ht="33.75" x14ac:dyDescent="0.2">
      <c r="A645" s="581" t="s">
        <v>140</v>
      </c>
      <c r="B645" s="582">
        <v>87250</v>
      </c>
      <c r="C645" s="583" t="s">
        <v>692</v>
      </c>
      <c r="D645" s="584" t="s">
        <v>685</v>
      </c>
      <c r="E645" s="583" t="s">
        <v>310</v>
      </c>
      <c r="F645" s="585">
        <f>'MEMÓRIA DE CÁLCULO'!F104</f>
        <v>428.69</v>
      </c>
      <c r="G645" s="586"/>
      <c r="H645" s="587">
        <v>30.95</v>
      </c>
      <c r="I645" s="588">
        <v>8.24</v>
      </c>
      <c r="J645" s="589">
        <f>H645+I645</f>
        <v>39.19</v>
      </c>
      <c r="K645" s="587">
        <f>H645*F645</f>
        <v>13267.9555</v>
      </c>
      <c r="L645" s="588">
        <f>I645*F645</f>
        <v>3532.4056</v>
      </c>
      <c r="M645" s="589">
        <f>K645+L645</f>
        <v>16800.361100000002</v>
      </c>
      <c r="N645" s="585">
        <f>M645*$N$7</f>
        <v>4126.168686160001</v>
      </c>
      <c r="O645" s="585">
        <f>ROUND(M645+N645,2)</f>
        <v>20926.53</v>
      </c>
    </row>
    <row r="646" spans="1:16" s="25" customFormat="1" ht="14.25" x14ac:dyDescent="0.2">
      <c r="A646" s="166"/>
      <c r="B646" s="160"/>
      <c r="C646" s="31"/>
      <c r="D646" s="146" t="s">
        <v>288</v>
      </c>
      <c r="E646" s="32"/>
      <c r="F646" s="147"/>
      <c r="G646" s="33"/>
      <c r="H646" s="129"/>
      <c r="I646" s="29"/>
      <c r="J646" s="130"/>
      <c r="K646" s="129"/>
      <c r="L646" s="29"/>
      <c r="M646" s="130"/>
      <c r="N646" s="115"/>
      <c r="O646" s="115"/>
    </row>
    <row r="647" spans="1:16" s="25" customFormat="1" ht="15.75" x14ac:dyDescent="0.2">
      <c r="A647" s="187"/>
      <c r="B647" s="188"/>
      <c r="C647" s="189">
        <v>13</v>
      </c>
      <c r="D647" s="190" t="s">
        <v>536</v>
      </c>
      <c r="E647" s="191"/>
      <c r="F647" s="190"/>
      <c r="G647" s="191"/>
      <c r="H647" s="192"/>
      <c r="I647" s="193"/>
      <c r="J647" s="194"/>
      <c r="K647" s="192"/>
      <c r="L647" s="193"/>
      <c r="M647" s="194"/>
      <c r="N647" s="195"/>
      <c r="O647" s="196">
        <f>SUM(O649:O697)</f>
        <v>39102.250000000007</v>
      </c>
      <c r="P647" s="855"/>
    </row>
    <row r="648" spans="1:16" s="25" customFormat="1" ht="14.25" x14ac:dyDescent="0.2">
      <c r="A648" s="166"/>
      <c r="B648" s="160"/>
      <c r="C648" s="31"/>
      <c r="D648" s="146" t="s">
        <v>288</v>
      </c>
      <c r="E648" s="32"/>
      <c r="F648" s="147"/>
      <c r="G648" s="33"/>
      <c r="H648" s="135"/>
      <c r="I648" s="33"/>
      <c r="J648" s="136"/>
      <c r="K648" s="135"/>
      <c r="L648" s="33"/>
      <c r="M648" s="136"/>
      <c r="N648" s="115"/>
      <c r="O648" s="115"/>
    </row>
    <row r="649" spans="1:16" s="356" customFormat="1" ht="11.25" x14ac:dyDescent="0.2">
      <c r="A649" s="402"/>
      <c r="B649" s="403"/>
      <c r="C649" s="404"/>
      <c r="D649" s="405" t="s">
        <v>431</v>
      </c>
      <c r="E649" s="406"/>
      <c r="F649" s="407"/>
      <c r="G649" s="408"/>
      <c r="H649" s="409"/>
      <c r="I649" s="410"/>
      <c r="J649" s="411"/>
      <c r="K649" s="409"/>
      <c r="L649" s="410"/>
      <c r="M649" s="411"/>
      <c r="N649" s="412"/>
      <c r="O649" s="412"/>
    </row>
    <row r="650" spans="1:16" s="25" customFormat="1" ht="14.25" x14ac:dyDescent="0.2">
      <c r="A650" s="166"/>
      <c r="B650" s="160"/>
      <c r="C650" s="31"/>
      <c r="D650" s="146" t="s">
        <v>288</v>
      </c>
      <c r="E650" s="32"/>
      <c r="F650" s="147"/>
      <c r="G650" s="33"/>
      <c r="H650" s="129"/>
      <c r="I650" s="29"/>
      <c r="J650" s="130"/>
      <c r="K650" s="129"/>
      <c r="L650" s="29"/>
      <c r="M650" s="130"/>
      <c r="N650" s="115"/>
      <c r="O650" s="115"/>
    </row>
    <row r="651" spans="1:16" s="25" customFormat="1" ht="33.75" x14ac:dyDescent="0.2">
      <c r="A651" s="581" t="s">
        <v>277</v>
      </c>
      <c r="B651" s="582" t="s">
        <v>1016</v>
      </c>
      <c r="C651" s="583" t="s">
        <v>696</v>
      </c>
      <c r="D651" s="584" t="s">
        <v>121</v>
      </c>
      <c r="E651" s="583" t="s">
        <v>314</v>
      </c>
      <c r="F651" s="585">
        <f>'MEMÓRIA DE CÁLCULO'!N116</f>
        <v>16.600000000000001</v>
      </c>
      <c r="G651" s="586"/>
      <c r="H651" s="587">
        <v>79.190000000000012</v>
      </c>
      <c r="I651" s="588">
        <v>39.83</v>
      </c>
      <c r="J651" s="589">
        <f>H651+I651</f>
        <v>119.02000000000001</v>
      </c>
      <c r="K651" s="587">
        <f>H651*F651</f>
        <v>1314.5540000000003</v>
      </c>
      <c r="L651" s="588">
        <f>I651*F651</f>
        <v>661.178</v>
      </c>
      <c r="M651" s="589">
        <f>K651+L651</f>
        <v>1975.7320000000004</v>
      </c>
      <c r="N651" s="585">
        <f>M651*$N$7</f>
        <v>485.23977920000016</v>
      </c>
      <c r="O651" s="585">
        <f>ROUND(M651+N651,2)</f>
        <v>2460.9699999999998</v>
      </c>
      <c r="P651" s="855"/>
    </row>
    <row r="652" spans="1:16" s="25" customFormat="1" ht="14.25" x14ac:dyDescent="0.2">
      <c r="A652" s="166"/>
      <c r="B652" s="160"/>
      <c r="C652" s="31"/>
      <c r="D652" s="146" t="s">
        <v>288</v>
      </c>
      <c r="E652" s="32"/>
      <c r="F652" s="147"/>
      <c r="G652" s="33"/>
      <c r="H652" s="129"/>
      <c r="I652" s="29"/>
      <c r="J652" s="130"/>
      <c r="K652" s="129"/>
      <c r="L652" s="29"/>
      <c r="M652" s="130"/>
      <c r="N652" s="115"/>
      <c r="O652" s="115"/>
    </row>
    <row r="653" spans="1:16" s="356" customFormat="1" ht="11.25" x14ac:dyDescent="0.2">
      <c r="A653" s="402"/>
      <c r="B653" s="403"/>
      <c r="C653" s="404"/>
      <c r="D653" s="405" t="s">
        <v>435</v>
      </c>
      <c r="E653" s="406"/>
      <c r="F653" s="407"/>
      <c r="G653" s="408"/>
      <c r="H653" s="409"/>
      <c r="I653" s="410"/>
      <c r="J653" s="411"/>
      <c r="K653" s="409"/>
      <c r="L653" s="410"/>
      <c r="M653" s="411"/>
      <c r="N653" s="412"/>
      <c r="O653" s="412"/>
    </row>
    <row r="654" spans="1:16" s="25" customFormat="1" ht="14.25" x14ac:dyDescent="0.2">
      <c r="A654" s="166"/>
      <c r="B654" s="160"/>
      <c r="C654" s="31"/>
      <c r="D654" s="146" t="s">
        <v>288</v>
      </c>
      <c r="E654" s="32"/>
      <c r="F654" s="147"/>
      <c r="G654" s="33"/>
      <c r="H654" s="129"/>
      <c r="I654" s="29"/>
      <c r="J654" s="130"/>
      <c r="K654" s="129"/>
      <c r="L654" s="29"/>
      <c r="M654" s="130"/>
      <c r="N654" s="115"/>
      <c r="O654" s="115"/>
    </row>
    <row r="655" spans="1:16" s="25" customFormat="1" ht="33.75" x14ac:dyDescent="0.2">
      <c r="A655" s="581" t="s">
        <v>277</v>
      </c>
      <c r="B655" s="582" t="s">
        <v>1016</v>
      </c>
      <c r="C655" s="583" t="s">
        <v>697</v>
      </c>
      <c r="D655" s="584" t="s">
        <v>121</v>
      </c>
      <c r="E655" s="583" t="s">
        <v>314</v>
      </c>
      <c r="F655" s="585">
        <f>'MEMÓRIA DE CÁLCULO'!N117</f>
        <v>22.12</v>
      </c>
      <c r="G655" s="586"/>
      <c r="H655" s="587">
        <v>79.190000000000012</v>
      </c>
      <c r="I655" s="588">
        <v>39.83</v>
      </c>
      <c r="J655" s="589">
        <f>H655+I655</f>
        <v>119.02000000000001</v>
      </c>
      <c r="K655" s="587">
        <f>H655*F655</f>
        <v>1751.6828000000003</v>
      </c>
      <c r="L655" s="588">
        <f>I655*F655</f>
        <v>881.03959999999995</v>
      </c>
      <c r="M655" s="589">
        <f>K655+L655</f>
        <v>2632.7224000000001</v>
      </c>
      <c r="N655" s="585">
        <f>M655*$N$7</f>
        <v>646.59662144000004</v>
      </c>
      <c r="O655" s="585">
        <f>ROUND(M655+N655,2)</f>
        <v>3279.32</v>
      </c>
      <c r="P655" s="855"/>
    </row>
    <row r="656" spans="1:16" s="25" customFormat="1" ht="14.25" x14ac:dyDescent="0.2">
      <c r="A656" s="166"/>
      <c r="B656" s="160"/>
      <c r="C656" s="31"/>
      <c r="D656" s="146" t="s">
        <v>288</v>
      </c>
      <c r="E656" s="32"/>
      <c r="F656" s="147"/>
      <c r="G656" s="33"/>
      <c r="H656" s="129"/>
      <c r="I656" s="29"/>
      <c r="J656" s="130"/>
      <c r="K656" s="129"/>
      <c r="L656" s="29"/>
      <c r="M656" s="130"/>
      <c r="N656" s="115"/>
      <c r="O656" s="115"/>
    </row>
    <row r="657" spans="1:16" s="25" customFormat="1" ht="33.75" x14ac:dyDescent="0.2">
      <c r="A657" s="581" t="s">
        <v>278</v>
      </c>
      <c r="B657" s="582" t="s">
        <v>204</v>
      </c>
      <c r="C657" s="583" t="s">
        <v>698</v>
      </c>
      <c r="D657" s="584" t="s">
        <v>694</v>
      </c>
      <c r="E657" s="583" t="s">
        <v>314</v>
      </c>
      <c r="F657" s="585">
        <f>'MEMÓRIA DE CÁLCULO'!H151</f>
        <v>23.85</v>
      </c>
      <c r="G657" s="586"/>
      <c r="H657" s="588">
        <f>ROUND(SUM(H658:H660),2)</f>
        <v>86.3</v>
      </c>
      <c r="I657" s="588">
        <f>ROUND(SUM(I658:I660),2)</f>
        <v>0.54</v>
      </c>
      <c r="J657" s="589">
        <f>H657+I657</f>
        <v>86.84</v>
      </c>
      <c r="K657" s="587">
        <f>H657*F657</f>
        <v>2058.2550000000001</v>
      </c>
      <c r="L657" s="588">
        <f>I657*F657</f>
        <v>12.879000000000001</v>
      </c>
      <c r="M657" s="589">
        <f>K657+L657</f>
        <v>2071.134</v>
      </c>
      <c r="N657" s="585">
        <f>M657*$N$7</f>
        <v>508.67051040000001</v>
      </c>
      <c r="O657" s="585">
        <f>ROUND(M657+N657,2)</f>
        <v>2579.8000000000002</v>
      </c>
      <c r="P657" s="855"/>
    </row>
    <row r="658" spans="1:16" s="25" customFormat="1" ht="22.5" x14ac:dyDescent="0.2">
      <c r="A658" s="168"/>
      <c r="B658" s="159"/>
      <c r="C658" s="34"/>
      <c r="D658" s="153" t="s">
        <v>206</v>
      </c>
      <c r="E658" s="34" t="s">
        <v>314</v>
      </c>
      <c r="F658" s="148">
        <v>1</v>
      </c>
      <c r="G658" s="35">
        <v>82.44</v>
      </c>
      <c r="H658" s="133">
        <f>F658*G658</f>
        <v>82.44</v>
      </c>
      <c r="I658" s="35"/>
      <c r="J658" s="134"/>
      <c r="K658" s="133"/>
      <c r="L658" s="35"/>
      <c r="M658" s="134"/>
      <c r="N658" s="115"/>
      <c r="O658" s="115"/>
    </row>
    <row r="659" spans="1:16" s="25" customFormat="1" ht="14.25" x14ac:dyDescent="0.2">
      <c r="A659" s="168"/>
      <c r="B659" s="159"/>
      <c r="C659" s="34"/>
      <c r="D659" s="153" t="s">
        <v>207</v>
      </c>
      <c r="E659" s="34" t="s">
        <v>307</v>
      </c>
      <c r="F659" s="148">
        <v>0.06</v>
      </c>
      <c r="G659" s="35">
        <v>8.92</v>
      </c>
      <c r="H659" s="133"/>
      <c r="I659" s="35">
        <f>F659*G659</f>
        <v>0.53520000000000001</v>
      </c>
      <c r="J659" s="134"/>
      <c r="K659" s="133"/>
      <c r="L659" s="35"/>
      <c r="M659" s="134"/>
      <c r="N659" s="114"/>
      <c r="O659" s="114"/>
    </row>
    <row r="660" spans="1:16" s="25" customFormat="1" ht="14.25" x14ac:dyDescent="0.2">
      <c r="A660" s="168"/>
      <c r="B660" s="159"/>
      <c r="C660" s="34"/>
      <c r="D660" s="153" t="s">
        <v>205</v>
      </c>
      <c r="E660" s="34" t="s">
        <v>313</v>
      </c>
      <c r="F660" s="148">
        <v>0.01</v>
      </c>
      <c r="G660" s="35">
        <v>386.23</v>
      </c>
      <c r="H660" s="133">
        <f>F660*G660</f>
        <v>3.8623000000000003</v>
      </c>
      <c r="I660" s="35"/>
      <c r="J660" s="134"/>
      <c r="K660" s="133"/>
      <c r="L660" s="35"/>
      <c r="M660" s="134"/>
      <c r="N660" s="117"/>
      <c r="O660" s="117"/>
    </row>
    <row r="661" spans="1:16" s="25" customFormat="1" ht="14.25" x14ac:dyDescent="0.2">
      <c r="A661" s="166"/>
      <c r="B661" s="160"/>
      <c r="C661" s="31"/>
      <c r="D661" s="146" t="s">
        <v>288</v>
      </c>
      <c r="E661" s="32"/>
      <c r="F661" s="147"/>
      <c r="G661" s="33"/>
      <c r="H661" s="135"/>
      <c r="I661" s="33"/>
      <c r="J661" s="136"/>
      <c r="K661" s="135"/>
      <c r="L661" s="33"/>
      <c r="M661" s="136"/>
      <c r="N661" s="116"/>
      <c r="O661" s="116"/>
    </row>
    <row r="662" spans="1:16" s="25" customFormat="1" ht="33.75" x14ac:dyDescent="0.2">
      <c r="A662" s="581" t="s">
        <v>278</v>
      </c>
      <c r="B662" s="582" t="s">
        <v>1017</v>
      </c>
      <c r="C662" s="583" t="s">
        <v>202</v>
      </c>
      <c r="D662" s="584" t="s">
        <v>693</v>
      </c>
      <c r="E662" s="583" t="s">
        <v>314</v>
      </c>
      <c r="F662" s="585">
        <f>'MEMÓRIA DE CÁLCULO'!J59</f>
        <v>322.60000000000002</v>
      </c>
      <c r="G662" s="586"/>
      <c r="H662" s="588">
        <f>ROUND(SUM(H663:H664),2)</f>
        <v>14.32</v>
      </c>
      <c r="I662" s="588">
        <f>ROUND(SUM(I663:I664),2)</f>
        <v>2.5099999999999998</v>
      </c>
      <c r="J662" s="589">
        <f>H662+I662</f>
        <v>16.829999999999998</v>
      </c>
      <c r="K662" s="587">
        <f>H662*F662</f>
        <v>4619.6320000000005</v>
      </c>
      <c r="L662" s="588">
        <f>I662*F662</f>
        <v>809.726</v>
      </c>
      <c r="M662" s="589">
        <f>K662+L662</f>
        <v>5429.3580000000002</v>
      </c>
      <c r="N662" s="585">
        <f>M662*$N$7</f>
        <v>1333.4503248000001</v>
      </c>
      <c r="O662" s="585">
        <f>ROUND(M662+N662,2)</f>
        <v>6762.81</v>
      </c>
      <c r="P662" s="855"/>
    </row>
    <row r="663" spans="1:16" s="25" customFormat="1" ht="14.25" x14ac:dyDescent="0.2">
      <c r="A663" s="168"/>
      <c r="B663" s="159"/>
      <c r="C663" s="34"/>
      <c r="D663" s="153" t="s">
        <v>209</v>
      </c>
      <c r="E663" s="34" t="s">
        <v>307</v>
      </c>
      <c r="F663" s="148">
        <v>0.2</v>
      </c>
      <c r="G663" s="35">
        <v>12.57</v>
      </c>
      <c r="H663" s="133"/>
      <c r="I663" s="35">
        <f>F663*G663</f>
        <v>2.5140000000000002</v>
      </c>
      <c r="J663" s="134"/>
      <c r="K663" s="133"/>
      <c r="L663" s="35"/>
      <c r="M663" s="134"/>
      <c r="N663" s="115"/>
      <c r="O663" s="115"/>
    </row>
    <row r="664" spans="1:16" s="25" customFormat="1" ht="14.25" x14ac:dyDescent="0.2">
      <c r="A664" s="168"/>
      <c r="B664" s="159"/>
      <c r="C664" s="34"/>
      <c r="D664" s="153" t="s">
        <v>141</v>
      </c>
      <c r="E664" s="34" t="s">
        <v>314</v>
      </c>
      <c r="F664" s="148">
        <v>1.1499999999999999</v>
      </c>
      <c r="G664" s="35">
        <v>12.45</v>
      </c>
      <c r="H664" s="133">
        <f>F664*G664</f>
        <v>14.317499999999997</v>
      </c>
      <c r="I664" s="35"/>
      <c r="J664" s="134"/>
      <c r="K664" s="133"/>
      <c r="L664" s="35"/>
      <c r="M664" s="134"/>
      <c r="N664" s="114"/>
      <c r="O664" s="114"/>
    </row>
    <row r="665" spans="1:16" s="25" customFormat="1" ht="14.25" x14ac:dyDescent="0.2">
      <c r="A665" s="166"/>
      <c r="B665" s="160"/>
      <c r="C665" s="31"/>
      <c r="D665" s="146" t="s">
        <v>288</v>
      </c>
      <c r="E665" s="32"/>
      <c r="F665" s="147"/>
      <c r="G665" s="33"/>
      <c r="H665" s="135"/>
      <c r="I665" s="33"/>
      <c r="J665" s="136"/>
      <c r="K665" s="135"/>
      <c r="L665" s="33"/>
      <c r="M665" s="136"/>
      <c r="N665" s="117"/>
      <c r="O665" s="117"/>
    </row>
    <row r="666" spans="1:16" s="25" customFormat="1" ht="33.75" x14ac:dyDescent="0.2">
      <c r="A666" s="581" t="s">
        <v>278</v>
      </c>
      <c r="B666" s="582" t="s">
        <v>210</v>
      </c>
      <c r="C666" s="583" t="s">
        <v>699</v>
      </c>
      <c r="D666" s="584" t="s">
        <v>695</v>
      </c>
      <c r="E666" s="583" t="s">
        <v>314</v>
      </c>
      <c r="F666" s="585">
        <f>'MEMÓRIA DE CÁLCULO'!G151</f>
        <v>6.3</v>
      </c>
      <c r="G666" s="586"/>
      <c r="H666" s="588">
        <f>ROUND(SUM(H667:H668),2)</f>
        <v>74.569999999999993</v>
      </c>
      <c r="I666" s="588">
        <f>ROUND(SUM(I667:I668),2)</f>
        <v>0.77</v>
      </c>
      <c r="J666" s="589">
        <f>H666+I666</f>
        <v>75.339999999999989</v>
      </c>
      <c r="K666" s="587">
        <f>H666*F666</f>
        <v>469.79099999999994</v>
      </c>
      <c r="L666" s="588">
        <f>I666*F666</f>
        <v>4.851</v>
      </c>
      <c r="M666" s="589">
        <f>K666+L666</f>
        <v>474.64199999999994</v>
      </c>
      <c r="N666" s="585">
        <f>M666*$N$7</f>
        <v>116.57207519999999</v>
      </c>
      <c r="O666" s="585">
        <f>ROUND(M666+N666,2)</f>
        <v>591.21</v>
      </c>
    </row>
    <row r="667" spans="1:16" s="25" customFormat="1" ht="33.75" x14ac:dyDescent="0.2">
      <c r="A667" s="168"/>
      <c r="B667" s="159"/>
      <c r="C667" s="34"/>
      <c r="D667" s="153" t="str">
        <f>D666</f>
        <v>Soleira de granito natural,  cinza andorinha ou similar  - na largura da parede externa, assentado com argamassa mista de cimento, cal hidratada e areia sem peneirar traço 1:1:4 - PORTAS EXTERNAS</v>
      </c>
      <c r="E667" s="34" t="s">
        <v>314</v>
      </c>
      <c r="F667" s="148">
        <v>1</v>
      </c>
      <c r="G667" s="35">
        <v>72.790000000000006</v>
      </c>
      <c r="H667" s="133">
        <f>F667*G667</f>
        <v>72.790000000000006</v>
      </c>
      <c r="I667" s="35"/>
      <c r="J667" s="134"/>
      <c r="K667" s="133"/>
      <c r="L667" s="35"/>
      <c r="M667" s="134"/>
      <c r="N667" s="115"/>
      <c r="O667" s="115"/>
    </row>
    <row r="668" spans="1:16" s="27" customFormat="1" x14ac:dyDescent="0.2">
      <c r="A668" s="168"/>
      <c r="B668" s="159"/>
      <c r="C668" s="34"/>
      <c r="D668" s="153" t="s">
        <v>205</v>
      </c>
      <c r="E668" s="34" t="s">
        <v>313</v>
      </c>
      <c r="F668" s="148">
        <v>0.98</v>
      </c>
      <c r="G668" s="35">
        <v>2.59</v>
      </c>
      <c r="H668" s="133">
        <f>F668*G668*0.7</f>
        <v>1.7767399999999998</v>
      </c>
      <c r="I668" s="35">
        <f>1.01*F668*G668*0.3</f>
        <v>0.76907459999999994</v>
      </c>
      <c r="J668" s="134"/>
      <c r="K668" s="133"/>
      <c r="L668" s="35"/>
      <c r="M668" s="134"/>
      <c r="N668" s="115"/>
      <c r="O668" s="115"/>
    </row>
    <row r="669" spans="1:16" s="25" customFormat="1" ht="14.25" x14ac:dyDescent="0.2">
      <c r="A669" s="166"/>
      <c r="B669" s="160"/>
      <c r="C669" s="31"/>
      <c r="D669" s="146" t="s">
        <v>288</v>
      </c>
      <c r="E669" s="32"/>
      <c r="F669" s="147"/>
      <c r="G669" s="33"/>
      <c r="H669" s="135"/>
      <c r="I669" s="33"/>
      <c r="J669" s="136"/>
      <c r="K669" s="135"/>
      <c r="L669" s="33"/>
      <c r="M669" s="136"/>
      <c r="N669" s="115"/>
      <c r="O669" s="115"/>
    </row>
    <row r="670" spans="1:16" s="356" customFormat="1" ht="11.25" x14ac:dyDescent="0.2">
      <c r="A670" s="424"/>
      <c r="B670" s="425"/>
      <c r="C670" s="426"/>
      <c r="D670" s="427" t="s">
        <v>436</v>
      </c>
      <c r="E670" s="428"/>
      <c r="F670" s="429"/>
      <c r="G670" s="430"/>
      <c r="H670" s="431"/>
      <c r="I670" s="432"/>
      <c r="J670" s="433"/>
      <c r="K670" s="431"/>
      <c r="L670" s="432"/>
      <c r="M670" s="433"/>
      <c r="N670" s="434"/>
      <c r="O670" s="434"/>
    </row>
    <row r="671" spans="1:16" s="25" customFormat="1" ht="14.25" x14ac:dyDescent="0.2">
      <c r="A671" s="166"/>
      <c r="B671" s="160"/>
      <c r="C671" s="31"/>
      <c r="D671" s="146" t="s">
        <v>288</v>
      </c>
      <c r="E671" s="32"/>
      <c r="F671" s="147"/>
      <c r="G671" s="33"/>
      <c r="H671" s="129"/>
      <c r="I671" s="29"/>
      <c r="J671" s="130"/>
      <c r="K671" s="129"/>
      <c r="L671" s="29"/>
      <c r="M671" s="130"/>
      <c r="N671" s="115"/>
      <c r="O671" s="115"/>
    </row>
    <row r="672" spans="1:16" s="25" customFormat="1" ht="56.25" x14ac:dyDescent="0.2">
      <c r="A672" s="581" t="s">
        <v>277</v>
      </c>
      <c r="B672" s="582" t="s">
        <v>1016</v>
      </c>
      <c r="C672" s="583" t="s">
        <v>700</v>
      </c>
      <c r="D672" s="584" t="s">
        <v>122</v>
      </c>
      <c r="E672" s="583" t="s">
        <v>314</v>
      </c>
      <c r="F672" s="585">
        <f>3*(2.4+0.4)</f>
        <v>8.3999999999999986</v>
      </c>
      <c r="G672" s="586"/>
      <c r="H672" s="587">
        <v>79.190000000000012</v>
      </c>
      <c r="I672" s="588">
        <v>39.83</v>
      </c>
      <c r="J672" s="589">
        <f>H672+I672</f>
        <v>119.02000000000001</v>
      </c>
      <c r="K672" s="587">
        <f>H672*F672</f>
        <v>665.19600000000003</v>
      </c>
      <c r="L672" s="588">
        <f>I672*F672</f>
        <v>334.57199999999995</v>
      </c>
      <c r="M672" s="589">
        <f>K672+L672</f>
        <v>999.76800000000003</v>
      </c>
      <c r="N672" s="585">
        <f>M672*$N$7</f>
        <v>245.54302080000002</v>
      </c>
      <c r="O672" s="585">
        <f>ROUND(M672+N672,2)</f>
        <v>1245.31</v>
      </c>
      <c r="P672" s="855"/>
    </row>
    <row r="673" spans="1:16" s="25" customFormat="1" ht="14.25" x14ac:dyDescent="0.2">
      <c r="A673" s="166"/>
      <c r="B673" s="160"/>
      <c r="C673" s="31"/>
      <c r="D673" s="146" t="s">
        <v>288</v>
      </c>
      <c r="E673" s="32"/>
      <c r="F673" s="147"/>
      <c r="G673" s="33"/>
      <c r="H673" s="129"/>
      <c r="I673" s="29"/>
      <c r="J673" s="130"/>
      <c r="K673" s="129"/>
      <c r="L673" s="29"/>
      <c r="M673" s="130"/>
      <c r="N673" s="115"/>
      <c r="O673" s="115"/>
    </row>
    <row r="674" spans="1:16" s="25" customFormat="1" ht="33.75" x14ac:dyDescent="0.2">
      <c r="A674" s="581" t="s">
        <v>277</v>
      </c>
      <c r="B674" s="582" t="s">
        <v>1016</v>
      </c>
      <c r="C674" s="583" t="s">
        <v>701</v>
      </c>
      <c r="D674" s="584" t="s">
        <v>121</v>
      </c>
      <c r="E674" s="583" t="s">
        <v>314</v>
      </c>
      <c r="F674" s="585">
        <f>'MEMÓRIA DE CÁLCULO'!N118</f>
        <v>28</v>
      </c>
      <c r="G674" s="586"/>
      <c r="H674" s="587">
        <v>79.190000000000012</v>
      </c>
      <c r="I674" s="588">
        <v>39.83</v>
      </c>
      <c r="J674" s="589">
        <f>H674+I674</f>
        <v>119.02000000000001</v>
      </c>
      <c r="K674" s="587">
        <f>H674*F674</f>
        <v>2217.3200000000002</v>
      </c>
      <c r="L674" s="588">
        <f>I674*F674</f>
        <v>1115.24</v>
      </c>
      <c r="M674" s="589">
        <f>K674+L674</f>
        <v>3332.5600000000004</v>
      </c>
      <c r="N674" s="585">
        <f>M674*$N$7</f>
        <v>818.47673600000019</v>
      </c>
      <c r="O674" s="585">
        <f>ROUND(M674+N674,2)</f>
        <v>4151.04</v>
      </c>
      <c r="P674" s="855"/>
    </row>
    <row r="675" spans="1:16" s="25" customFormat="1" ht="14.25" x14ac:dyDescent="0.2">
      <c r="A675" s="166"/>
      <c r="B675" s="160"/>
      <c r="C675" s="31"/>
      <c r="D675" s="146" t="s">
        <v>288</v>
      </c>
      <c r="E675" s="32"/>
      <c r="F675" s="147"/>
      <c r="G675" s="33"/>
      <c r="H675" s="129"/>
      <c r="I675" s="29"/>
      <c r="J675" s="130"/>
      <c r="K675" s="129"/>
      <c r="L675" s="29"/>
      <c r="M675" s="130"/>
      <c r="N675" s="115"/>
      <c r="O675" s="115"/>
    </row>
    <row r="676" spans="1:16" s="25" customFormat="1" ht="33.75" x14ac:dyDescent="0.2">
      <c r="A676" s="581" t="s">
        <v>278</v>
      </c>
      <c r="B676" s="582" t="s">
        <v>204</v>
      </c>
      <c r="C676" s="583" t="s">
        <v>702</v>
      </c>
      <c r="D676" s="584" t="s">
        <v>694</v>
      </c>
      <c r="E676" s="583" t="s">
        <v>314</v>
      </c>
      <c r="F676" s="585">
        <f>'MEMÓRIA DE CÁLCULO'!H168</f>
        <v>16.8</v>
      </c>
      <c r="G676" s="586"/>
      <c r="H676" s="588">
        <f>ROUND(SUM(H677:H679),2)</f>
        <v>86.3</v>
      </c>
      <c r="I676" s="588">
        <f>ROUND(SUM(I677:I679),2)</f>
        <v>0.54</v>
      </c>
      <c r="J676" s="589">
        <f>H676+I676</f>
        <v>86.84</v>
      </c>
      <c r="K676" s="587">
        <f>H676*F676</f>
        <v>1449.84</v>
      </c>
      <c r="L676" s="588">
        <f>I676*F676</f>
        <v>9.072000000000001</v>
      </c>
      <c r="M676" s="589">
        <f>K676+L676</f>
        <v>1458.9119999999998</v>
      </c>
      <c r="N676" s="585">
        <f>M676*$N$7</f>
        <v>358.30878719999998</v>
      </c>
      <c r="O676" s="585">
        <f>ROUND(M676+N676,2)</f>
        <v>1817.22</v>
      </c>
      <c r="P676" s="855"/>
    </row>
    <row r="677" spans="1:16" s="25" customFormat="1" ht="22.5" x14ac:dyDescent="0.2">
      <c r="A677" s="168"/>
      <c r="B677" s="159"/>
      <c r="C677" s="34"/>
      <c r="D677" s="153" t="s">
        <v>206</v>
      </c>
      <c r="E677" s="34" t="s">
        <v>314</v>
      </c>
      <c r="F677" s="148">
        <v>1</v>
      </c>
      <c r="G677" s="35">
        <v>82.44</v>
      </c>
      <c r="H677" s="133">
        <f>F677*G677</f>
        <v>82.44</v>
      </c>
      <c r="I677" s="35"/>
      <c r="J677" s="134"/>
      <c r="K677" s="133"/>
      <c r="L677" s="35"/>
      <c r="M677" s="134"/>
      <c r="N677" s="115"/>
      <c r="O677" s="115"/>
    </row>
    <row r="678" spans="1:16" s="25" customFormat="1" ht="14.25" x14ac:dyDescent="0.2">
      <c r="A678" s="168"/>
      <c r="B678" s="159"/>
      <c r="C678" s="34"/>
      <c r="D678" s="153" t="s">
        <v>207</v>
      </c>
      <c r="E678" s="34" t="s">
        <v>307</v>
      </c>
      <c r="F678" s="148">
        <v>0.06</v>
      </c>
      <c r="G678" s="35">
        <v>8.92</v>
      </c>
      <c r="H678" s="133"/>
      <c r="I678" s="35">
        <f>F678*G678</f>
        <v>0.53520000000000001</v>
      </c>
      <c r="J678" s="134"/>
      <c r="K678" s="133"/>
      <c r="L678" s="35"/>
      <c r="M678" s="134"/>
      <c r="N678" s="114"/>
      <c r="O678" s="114"/>
    </row>
    <row r="679" spans="1:16" s="25" customFormat="1" ht="14.25" x14ac:dyDescent="0.2">
      <c r="A679" s="168"/>
      <c r="B679" s="159"/>
      <c r="C679" s="34"/>
      <c r="D679" s="153" t="s">
        <v>205</v>
      </c>
      <c r="E679" s="34" t="s">
        <v>313</v>
      </c>
      <c r="F679" s="148">
        <v>0.01</v>
      </c>
      <c r="G679" s="35">
        <v>386.23</v>
      </c>
      <c r="H679" s="133">
        <f>F679*G679</f>
        <v>3.8623000000000003</v>
      </c>
      <c r="I679" s="35"/>
      <c r="J679" s="134"/>
      <c r="K679" s="133"/>
      <c r="L679" s="35"/>
      <c r="M679" s="134"/>
      <c r="N679" s="117"/>
      <c r="O679" s="117"/>
    </row>
    <row r="680" spans="1:16" s="25" customFormat="1" ht="14.25" x14ac:dyDescent="0.2">
      <c r="A680" s="166"/>
      <c r="B680" s="160"/>
      <c r="C680" s="31"/>
      <c r="D680" s="146" t="s">
        <v>288</v>
      </c>
      <c r="E680" s="32"/>
      <c r="F680" s="147"/>
      <c r="G680" s="33"/>
      <c r="H680" s="135"/>
      <c r="I680" s="33"/>
      <c r="J680" s="136"/>
      <c r="K680" s="135"/>
      <c r="L680" s="33"/>
      <c r="M680" s="136"/>
      <c r="N680" s="116"/>
      <c r="O680" s="116"/>
    </row>
    <row r="681" spans="1:16" s="25" customFormat="1" ht="33.75" x14ac:dyDescent="0.2">
      <c r="A681" s="581" t="s">
        <v>278</v>
      </c>
      <c r="B681" s="582" t="s">
        <v>1017</v>
      </c>
      <c r="C681" s="583" t="s">
        <v>703</v>
      </c>
      <c r="D681" s="584" t="s">
        <v>693</v>
      </c>
      <c r="E681" s="583" t="s">
        <v>314</v>
      </c>
      <c r="F681" s="585">
        <f>'MEMÓRIA DE CÁLCULO'!J82</f>
        <v>296.16000000000003</v>
      </c>
      <c r="G681" s="586"/>
      <c r="H681" s="588">
        <f>ROUND(SUM(H682:H683),2)</f>
        <v>14.32</v>
      </c>
      <c r="I681" s="588">
        <f>ROUND(SUM(I682:I683),2)</f>
        <v>2.64</v>
      </c>
      <c r="J681" s="589">
        <f>H681+I681</f>
        <v>16.96</v>
      </c>
      <c r="K681" s="587">
        <f>H681*F681</f>
        <v>4241.0112000000008</v>
      </c>
      <c r="L681" s="588">
        <f>I681*F681</f>
        <v>781.86240000000009</v>
      </c>
      <c r="M681" s="589">
        <f>K681+L681</f>
        <v>5022.8736000000008</v>
      </c>
      <c r="N681" s="585">
        <f>M681*$N$7</f>
        <v>1233.6177561600002</v>
      </c>
      <c r="O681" s="585">
        <f>ROUND(M681+N681,2)</f>
        <v>6256.49</v>
      </c>
      <c r="P681" s="855"/>
    </row>
    <row r="682" spans="1:16" s="25" customFormat="1" ht="14.25" x14ac:dyDescent="0.2">
      <c r="A682" s="168"/>
      <c r="B682" s="159"/>
      <c r="C682" s="34"/>
      <c r="D682" s="153" t="s">
        <v>209</v>
      </c>
      <c r="E682" s="34" t="s">
        <v>307</v>
      </c>
      <c r="F682" s="148">
        <v>0.2</v>
      </c>
      <c r="G682" s="35">
        <v>13.2</v>
      </c>
      <c r="H682" s="133"/>
      <c r="I682" s="35">
        <f>F682*G682</f>
        <v>2.64</v>
      </c>
      <c r="J682" s="134"/>
      <c r="K682" s="133"/>
      <c r="L682" s="35"/>
      <c r="M682" s="134"/>
      <c r="N682" s="115"/>
      <c r="O682" s="115"/>
    </row>
    <row r="683" spans="1:16" s="25" customFormat="1" ht="14.25" x14ac:dyDescent="0.2">
      <c r="A683" s="168"/>
      <c r="B683" s="159"/>
      <c r="C683" s="34"/>
      <c r="D683" s="153" t="s">
        <v>141</v>
      </c>
      <c r="E683" s="34" t="s">
        <v>314</v>
      </c>
      <c r="F683" s="148">
        <v>1.1499999999999999</v>
      </c>
      <c r="G683" s="35">
        <v>12.45</v>
      </c>
      <c r="H683" s="133">
        <f>F683*G683</f>
        <v>14.317499999999997</v>
      </c>
      <c r="I683" s="35"/>
      <c r="J683" s="134"/>
      <c r="K683" s="133"/>
      <c r="L683" s="35"/>
      <c r="M683" s="134"/>
      <c r="N683" s="114"/>
      <c r="O683" s="114"/>
    </row>
    <row r="684" spans="1:16" s="25" customFormat="1" ht="14.25" x14ac:dyDescent="0.2">
      <c r="A684" s="166"/>
      <c r="B684" s="160"/>
      <c r="C684" s="31"/>
      <c r="D684" s="146" t="s">
        <v>288</v>
      </c>
      <c r="E684" s="32"/>
      <c r="F684" s="147"/>
      <c r="G684" s="33"/>
      <c r="H684" s="135"/>
      <c r="I684" s="33"/>
      <c r="J684" s="136"/>
      <c r="K684" s="135"/>
      <c r="L684" s="33"/>
      <c r="M684" s="136"/>
      <c r="N684" s="117"/>
      <c r="O684" s="117"/>
    </row>
    <row r="685" spans="1:16" s="356" customFormat="1" ht="11.25" x14ac:dyDescent="0.2">
      <c r="A685" s="413"/>
      <c r="B685" s="414"/>
      <c r="C685" s="415"/>
      <c r="D685" s="416" t="s">
        <v>437</v>
      </c>
      <c r="E685" s="417"/>
      <c r="F685" s="418"/>
      <c r="G685" s="419"/>
      <c r="H685" s="420"/>
      <c r="I685" s="421"/>
      <c r="J685" s="422"/>
      <c r="K685" s="420"/>
      <c r="L685" s="421"/>
      <c r="M685" s="422"/>
      <c r="N685" s="423"/>
      <c r="O685" s="423"/>
    </row>
    <row r="686" spans="1:16" s="25" customFormat="1" ht="14.25" x14ac:dyDescent="0.2">
      <c r="A686" s="166"/>
      <c r="B686" s="160"/>
      <c r="C686" s="31"/>
      <c r="D686" s="146" t="s">
        <v>288</v>
      </c>
      <c r="E686" s="32"/>
      <c r="F686" s="147"/>
      <c r="G686" s="33"/>
      <c r="H686" s="129"/>
      <c r="I686" s="29"/>
      <c r="J686" s="130"/>
      <c r="K686" s="129"/>
      <c r="L686" s="29"/>
      <c r="M686" s="130"/>
      <c r="N686" s="115"/>
      <c r="O686" s="115"/>
    </row>
    <row r="687" spans="1:16" s="25" customFormat="1" ht="56.25" x14ac:dyDescent="0.2">
      <c r="A687" s="581" t="s">
        <v>277</v>
      </c>
      <c r="B687" s="582" t="s">
        <v>1016</v>
      </c>
      <c r="C687" s="583" t="s">
        <v>704</v>
      </c>
      <c r="D687" s="584" t="s">
        <v>122</v>
      </c>
      <c r="E687" s="583" t="s">
        <v>314</v>
      </c>
      <c r="F687" s="585">
        <f>3*(2.4+0.4)</f>
        <v>8.3999999999999986</v>
      </c>
      <c r="G687" s="586"/>
      <c r="H687" s="587">
        <v>79.190000000000012</v>
      </c>
      <c r="I687" s="588">
        <v>39.83</v>
      </c>
      <c r="J687" s="589">
        <f>H687+I687</f>
        <v>119.02000000000001</v>
      </c>
      <c r="K687" s="587">
        <f>H687*F687</f>
        <v>665.19600000000003</v>
      </c>
      <c r="L687" s="588">
        <f>I687*F687</f>
        <v>334.57199999999995</v>
      </c>
      <c r="M687" s="589">
        <f>K687+L687</f>
        <v>999.76800000000003</v>
      </c>
      <c r="N687" s="585">
        <f>M687*$N$7</f>
        <v>245.54302080000002</v>
      </c>
      <c r="O687" s="585">
        <f>ROUND(M687+N687,2)</f>
        <v>1245.31</v>
      </c>
      <c r="P687" s="855"/>
    </row>
    <row r="688" spans="1:16" s="25" customFormat="1" ht="14.25" x14ac:dyDescent="0.2">
      <c r="A688" s="166"/>
      <c r="B688" s="160"/>
      <c r="C688" s="31"/>
      <c r="D688" s="146" t="s">
        <v>288</v>
      </c>
      <c r="E688" s="32"/>
      <c r="F688" s="147"/>
      <c r="G688" s="33"/>
      <c r="H688" s="129"/>
      <c r="I688" s="29"/>
      <c r="J688" s="130"/>
      <c r="K688" s="129"/>
      <c r="L688" s="29"/>
      <c r="M688" s="130"/>
      <c r="N688" s="115"/>
      <c r="O688" s="115"/>
    </row>
    <row r="689" spans="1:16" s="25" customFormat="1" ht="33.75" x14ac:dyDescent="0.2">
      <c r="A689" s="581" t="s">
        <v>278</v>
      </c>
      <c r="B689" s="582" t="s">
        <v>204</v>
      </c>
      <c r="C689" s="583" t="s">
        <v>705</v>
      </c>
      <c r="D689" s="584" t="s">
        <v>694</v>
      </c>
      <c r="E689" s="583" t="s">
        <v>314</v>
      </c>
      <c r="F689" s="585">
        <f>'MEMÓRIA DE CÁLCULO'!H184</f>
        <v>18.5</v>
      </c>
      <c r="G689" s="586"/>
      <c r="H689" s="588">
        <f>ROUND(SUM(H690:H692),2)</f>
        <v>86.3</v>
      </c>
      <c r="I689" s="588">
        <f>ROUND(SUM(I690:I692),2)</f>
        <v>0.54</v>
      </c>
      <c r="J689" s="589">
        <f>H689+I689</f>
        <v>86.84</v>
      </c>
      <c r="K689" s="587">
        <f>H689*F689</f>
        <v>1596.55</v>
      </c>
      <c r="L689" s="588">
        <f>I689*F689</f>
        <v>9.99</v>
      </c>
      <c r="M689" s="589">
        <f>K689+L689</f>
        <v>1606.54</v>
      </c>
      <c r="N689" s="585">
        <f>M689*$N$7</f>
        <v>394.56622400000003</v>
      </c>
      <c r="O689" s="585">
        <f>ROUND(M689+N689,2)</f>
        <v>2001.11</v>
      </c>
      <c r="P689" s="855"/>
    </row>
    <row r="690" spans="1:16" s="25" customFormat="1" ht="22.5" x14ac:dyDescent="0.2">
      <c r="A690" s="168"/>
      <c r="B690" s="159"/>
      <c r="C690" s="34"/>
      <c r="D690" s="153" t="s">
        <v>206</v>
      </c>
      <c r="E690" s="34" t="s">
        <v>314</v>
      </c>
      <c r="F690" s="148">
        <v>1</v>
      </c>
      <c r="G690" s="35">
        <v>82.44</v>
      </c>
      <c r="H690" s="133">
        <f>F690*G690</f>
        <v>82.44</v>
      </c>
      <c r="I690" s="35"/>
      <c r="J690" s="134"/>
      <c r="K690" s="133"/>
      <c r="L690" s="35"/>
      <c r="M690" s="134"/>
      <c r="N690" s="115"/>
      <c r="O690" s="115"/>
    </row>
    <row r="691" spans="1:16" s="25" customFormat="1" ht="14.25" x14ac:dyDescent="0.2">
      <c r="A691" s="168"/>
      <c r="B691" s="159"/>
      <c r="C691" s="34"/>
      <c r="D691" s="153" t="s">
        <v>207</v>
      </c>
      <c r="E691" s="34" t="s">
        <v>307</v>
      </c>
      <c r="F691" s="148">
        <v>0.06</v>
      </c>
      <c r="G691" s="35">
        <v>8.92</v>
      </c>
      <c r="H691" s="133"/>
      <c r="I691" s="35">
        <f>F691*G691</f>
        <v>0.53520000000000001</v>
      </c>
      <c r="J691" s="134"/>
      <c r="K691" s="133"/>
      <c r="L691" s="35"/>
      <c r="M691" s="134"/>
      <c r="N691" s="114"/>
      <c r="O691" s="114"/>
    </row>
    <row r="692" spans="1:16" s="25" customFormat="1" ht="14.25" x14ac:dyDescent="0.2">
      <c r="A692" s="168"/>
      <c r="B692" s="159"/>
      <c r="C692" s="34"/>
      <c r="D692" s="153" t="s">
        <v>205</v>
      </c>
      <c r="E692" s="34" t="s">
        <v>313</v>
      </c>
      <c r="F692" s="148">
        <v>0.01</v>
      </c>
      <c r="G692" s="35">
        <v>386.23</v>
      </c>
      <c r="H692" s="133">
        <f>F692*G692</f>
        <v>3.8623000000000003</v>
      </c>
      <c r="I692" s="35"/>
      <c r="J692" s="134"/>
      <c r="K692" s="133"/>
      <c r="L692" s="35"/>
      <c r="M692" s="134"/>
      <c r="N692" s="117"/>
      <c r="O692" s="117"/>
    </row>
    <row r="693" spans="1:16" s="25" customFormat="1" ht="14.25" x14ac:dyDescent="0.2">
      <c r="A693" s="166"/>
      <c r="B693" s="160"/>
      <c r="C693" s="31"/>
      <c r="D693" s="146" t="s">
        <v>288</v>
      </c>
      <c r="E693" s="32"/>
      <c r="F693" s="147"/>
      <c r="G693" s="33"/>
      <c r="H693" s="135"/>
      <c r="I693" s="33"/>
      <c r="J693" s="136"/>
      <c r="K693" s="135"/>
      <c r="L693" s="33"/>
      <c r="M693" s="136"/>
      <c r="N693" s="116"/>
      <c r="O693" s="116"/>
    </row>
    <row r="694" spans="1:16" s="25" customFormat="1" ht="33.75" x14ac:dyDescent="0.2">
      <c r="A694" s="581" t="s">
        <v>278</v>
      </c>
      <c r="B694" s="582" t="s">
        <v>1017</v>
      </c>
      <c r="C694" s="583" t="s">
        <v>706</v>
      </c>
      <c r="D694" s="584" t="s">
        <v>693</v>
      </c>
      <c r="E694" s="583" t="s">
        <v>314</v>
      </c>
      <c r="F694" s="585">
        <f>'MEMÓRIA DE CÁLCULO'!J104</f>
        <v>320.16000000000003</v>
      </c>
      <c r="G694" s="586"/>
      <c r="H694" s="588">
        <f>ROUND(SUM(H695:H696),2)</f>
        <v>14.32</v>
      </c>
      <c r="I694" s="588">
        <f>ROUND(SUM(I695:I696),2)</f>
        <v>2.5099999999999998</v>
      </c>
      <c r="J694" s="589">
        <f>H694+I694</f>
        <v>16.829999999999998</v>
      </c>
      <c r="K694" s="587">
        <f>H694*F694</f>
        <v>4584.6912000000002</v>
      </c>
      <c r="L694" s="588">
        <f>I694*F694</f>
        <v>803.60159999999996</v>
      </c>
      <c r="M694" s="589">
        <f>K694+L694</f>
        <v>5388.2928000000002</v>
      </c>
      <c r="N694" s="585">
        <f>M694*$N$7</f>
        <v>1323.36471168</v>
      </c>
      <c r="O694" s="585">
        <f>ROUND(M694+N694,2)</f>
        <v>6711.66</v>
      </c>
      <c r="P694" s="855"/>
    </row>
    <row r="695" spans="1:16" s="25" customFormat="1" ht="14.25" x14ac:dyDescent="0.2">
      <c r="A695" s="168"/>
      <c r="B695" s="159"/>
      <c r="C695" s="34"/>
      <c r="D695" s="153" t="s">
        <v>209</v>
      </c>
      <c r="E695" s="34" t="s">
        <v>307</v>
      </c>
      <c r="F695" s="148">
        <v>0.2</v>
      </c>
      <c r="G695" s="35">
        <v>12.57</v>
      </c>
      <c r="H695" s="133"/>
      <c r="I695" s="35">
        <f>F695*G695</f>
        <v>2.5140000000000002</v>
      </c>
      <c r="J695" s="134"/>
      <c r="K695" s="133"/>
      <c r="L695" s="35"/>
      <c r="M695" s="134"/>
      <c r="N695" s="115"/>
      <c r="O695" s="115"/>
    </row>
    <row r="696" spans="1:16" s="25" customFormat="1" ht="14.25" x14ac:dyDescent="0.2">
      <c r="A696" s="168"/>
      <c r="B696" s="159"/>
      <c r="C696" s="34"/>
      <c r="D696" s="153" t="s">
        <v>141</v>
      </c>
      <c r="E696" s="34" t="s">
        <v>314</v>
      </c>
      <c r="F696" s="148">
        <v>1.1499999999999999</v>
      </c>
      <c r="G696" s="35">
        <v>12.45</v>
      </c>
      <c r="H696" s="133">
        <f>F696*G696</f>
        <v>14.317499999999997</v>
      </c>
      <c r="I696" s="35"/>
      <c r="J696" s="134"/>
      <c r="K696" s="133"/>
      <c r="L696" s="35"/>
      <c r="M696" s="134"/>
      <c r="N696" s="114"/>
      <c r="O696" s="114"/>
    </row>
    <row r="697" spans="1:16" s="25" customFormat="1" ht="14.25" x14ac:dyDescent="0.2">
      <c r="A697" s="166"/>
      <c r="B697" s="160"/>
      <c r="C697" s="31"/>
      <c r="D697" s="146" t="s">
        <v>288</v>
      </c>
      <c r="E697" s="32"/>
      <c r="F697" s="147"/>
      <c r="G697" s="33"/>
      <c r="H697" s="135"/>
      <c r="I697" s="33"/>
      <c r="J697" s="136"/>
      <c r="K697" s="135"/>
      <c r="L697" s="33"/>
      <c r="M697" s="136"/>
      <c r="N697" s="117"/>
      <c r="O697" s="117"/>
    </row>
    <row r="698" spans="1:16" s="25" customFormat="1" ht="15.75" x14ac:dyDescent="0.2">
      <c r="A698" s="187"/>
      <c r="B698" s="188"/>
      <c r="C698" s="189">
        <v>14</v>
      </c>
      <c r="D698" s="190" t="s">
        <v>298</v>
      </c>
      <c r="E698" s="191"/>
      <c r="F698" s="190"/>
      <c r="G698" s="191"/>
      <c r="H698" s="192"/>
      <c r="I698" s="193"/>
      <c r="J698" s="194"/>
      <c r="K698" s="192"/>
      <c r="L698" s="193"/>
      <c r="M698" s="194"/>
      <c r="N698" s="195"/>
      <c r="O698" s="196">
        <f>SUM(O702:O1245)</f>
        <v>88125.209999999992</v>
      </c>
    </row>
    <row r="699" spans="1:16" s="25" customFormat="1" ht="14.25" x14ac:dyDescent="0.2">
      <c r="A699" s="166"/>
      <c r="B699" s="161"/>
      <c r="C699" s="36"/>
      <c r="D699" s="146" t="s">
        <v>288</v>
      </c>
      <c r="E699" s="32"/>
      <c r="F699" s="32"/>
      <c r="G699" s="33"/>
      <c r="H699" s="129"/>
      <c r="I699" s="29"/>
      <c r="J699" s="130"/>
      <c r="K699" s="33"/>
      <c r="L699" s="33"/>
      <c r="M699" s="136"/>
      <c r="N699" s="115"/>
      <c r="O699" s="115"/>
    </row>
    <row r="700" spans="1:16" s="25" customFormat="1" ht="14.25" x14ac:dyDescent="0.2">
      <c r="A700" s="581"/>
      <c r="B700" s="582"/>
      <c r="C700" s="583"/>
      <c r="D700" s="584" t="s">
        <v>222</v>
      </c>
      <c r="E700" s="583"/>
      <c r="F700" s="585"/>
      <c r="G700" s="586"/>
      <c r="H700" s="587"/>
      <c r="I700" s="588"/>
      <c r="J700" s="589"/>
      <c r="K700" s="587"/>
      <c r="L700" s="588"/>
      <c r="M700" s="589"/>
      <c r="N700" s="585"/>
      <c r="O700" s="585"/>
    </row>
    <row r="701" spans="1:16" s="25" customFormat="1" ht="14.25" x14ac:dyDescent="0.2">
      <c r="A701" s="166"/>
      <c r="B701" s="160"/>
      <c r="C701" s="31"/>
      <c r="D701" s="146" t="s">
        <v>288</v>
      </c>
      <c r="E701" s="32"/>
      <c r="F701" s="147"/>
      <c r="G701" s="33"/>
      <c r="H701" s="129"/>
      <c r="I701" s="29"/>
      <c r="J701" s="130"/>
      <c r="K701" s="33"/>
      <c r="L701" s="33"/>
      <c r="M701" s="136"/>
      <c r="N701" s="115"/>
      <c r="O701" s="115"/>
    </row>
    <row r="702" spans="1:16" s="25" customFormat="1" ht="22.5" x14ac:dyDescent="0.2">
      <c r="A702" s="581" t="s">
        <v>277</v>
      </c>
      <c r="B702" s="582" t="s">
        <v>214</v>
      </c>
      <c r="C702" s="583" t="s">
        <v>358</v>
      </c>
      <c r="D702" s="584" t="s">
        <v>64</v>
      </c>
      <c r="E702" s="583" t="s">
        <v>281</v>
      </c>
      <c r="F702" s="585">
        <v>3</v>
      </c>
      <c r="G702" s="586"/>
      <c r="H702" s="587">
        <v>100.95</v>
      </c>
      <c r="I702" s="588">
        <v>19.5</v>
      </c>
      <c r="J702" s="589">
        <f>H702+I702</f>
        <v>120.45</v>
      </c>
      <c r="K702" s="587">
        <f>H702*F702</f>
        <v>302.85000000000002</v>
      </c>
      <c r="L702" s="588">
        <f>I702*F702</f>
        <v>58.5</v>
      </c>
      <c r="M702" s="589">
        <f>K702+L702</f>
        <v>361.35</v>
      </c>
      <c r="N702" s="585">
        <f>M702*$N$7</f>
        <v>88.747560000000007</v>
      </c>
      <c r="O702" s="585">
        <f>ROUND(M702+N702,2)</f>
        <v>450.1</v>
      </c>
    </row>
    <row r="703" spans="1:16" s="25" customFormat="1" ht="14.25" x14ac:dyDescent="0.2">
      <c r="A703" s="166"/>
      <c r="B703" s="160"/>
      <c r="C703" s="31"/>
      <c r="D703" s="146" t="s">
        <v>288</v>
      </c>
      <c r="E703" s="32"/>
      <c r="F703" s="147"/>
      <c r="G703" s="33"/>
      <c r="H703" s="129"/>
      <c r="I703" s="29"/>
      <c r="J703" s="130"/>
      <c r="K703" s="33"/>
      <c r="L703" s="33"/>
      <c r="M703" s="136"/>
      <c r="N703" s="115"/>
      <c r="O703" s="115"/>
    </row>
    <row r="704" spans="1:16" s="25" customFormat="1" ht="22.5" x14ac:dyDescent="0.2">
      <c r="A704" s="581" t="s">
        <v>277</v>
      </c>
      <c r="B704" s="582" t="s">
        <v>211</v>
      </c>
      <c r="C704" s="583" t="s">
        <v>359</v>
      </c>
      <c r="D704" s="584" t="s">
        <v>42</v>
      </c>
      <c r="E704" s="583" t="s">
        <v>314</v>
      </c>
      <c r="F704" s="585">
        <f>'MEMÓRIA DE CÁLCULO'!D296</f>
        <v>111</v>
      </c>
      <c r="G704" s="586"/>
      <c r="H704" s="587">
        <v>14.66</v>
      </c>
      <c r="I704" s="588">
        <v>10.23</v>
      </c>
      <c r="J704" s="589">
        <f>H704+I704</f>
        <v>24.89</v>
      </c>
      <c r="K704" s="587">
        <f>H704*F704</f>
        <v>1627.26</v>
      </c>
      <c r="L704" s="588">
        <f>I704*F704</f>
        <v>1135.53</v>
      </c>
      <c r="M704" s="589">
        <f>K704+L704</f>
        <v>2762.79</v>
      </c>
      <c r="N704" s="585">
        <f>M704*$N$7</f>
        <v>678.54122400000006</v>
      </c>
      <c r="O704" s="585">
        <f>ROUND(M704+N704,2)</f>
        <v>3441.33</v>
      </c>
    </row>
    <row r="705" spans="1:15" s="25" customFormat="1" ht="14.25" x14ac:dyDescent="0.2">
      <c r="A705" s="166"/>
      <c r="B705" s="160"/>
      <c r="C705" s="31"/>
      <c r="D705" s="146" t="s">
        <v>288</v>
      </c>
      <c r="E705" s="32"/>
      <c r="F705" s="147"/>
      <c r="G705" s="33"/>
      <c r="H705" s="129"/>
      <c r="I705" s="29"/>
      <c r="J705" s="130"/>
      <c r="K705" s="33"/>
      <c r="L705" s="33"/>
      <c r="M705" s="136"/>
      <c r="N705" s="115"/>
      <c r="O705" s="115"/>
    </row>
    <row r="706" spans="1:15" s="25" customFormat="1" ht="14.25" x14ac:dyDescent="0.2">
      <c r="A706" s="581"/>
      <c r="B706" s="582"/>
      <c r="C706" s="583"/>
      <c r="D706" s="584" t="s">
        <v>219</v>
      </c>
      <c r="E706" s="583"/>
      <c r="F706" s="585"/>
      <c r="G706" s="586"/>
      <c r="H706" s="587"/>
      <c r="I706" s="588"/>
      <c r="J706" s="589"/>
      <c r="K706" s="587"/>
      <c r="L706" s="588"/>
      <c r="M706" s="589"/>
      <c r="N706" s="585"/>
      <c r="O706" s="585"/>
    </row>
    <row r="707" spans="1:15" s="25" customFormat="1" ht="14.25" x14ac:dyDescent="0.2">
      <c r="A707" s="166"/>
      <c r="B707" s="160"/>
      <c r="C707" s="31"/>
      <c r="D707" s="146" t="s">
        <v>288</v>
      </c>
      <c r="E707" s="32"/>
      <c r="F707" s="147"/>
      <c r="G707" s="33"/>
      <c r="H707" s="129"/>
      <c r="I707" s="29"/>
      <c r="J707" s="130"/>
      <c r="K707" s="33"/>
      <c r="L707" s="33"/>
      <c r="M707" s="136"/>
      <c r="N707" s="115"/>
      <c r="O707" s="115"/>
    </row>
    <row r="708" spans="1:15" s="25" customFormat="1" ht="45" x14ac:dyDescent="0.2">
      <c r="A708" s="581" t="s">
        <v>277</v>
      </c>
      <c r="B708" s="582" t="s">
        <v>220</v>
      </c>
      <c r="C708" s="583" t="s">
        <v>711</v>
      </c>
      <c r="D708" s="584" t="s">
        <v>41</v>
      </c>
      <c r="E708" s="583" t="s">
        <v>314</v>
      </c>
      <c r="F708" s="585">
        <f>'MEMÓRIA DE CÁLCULO'!D302</f>
        <v>77.5</v>
      </c>
      <c r="G708" s="586"/>
      <c r="H708" s="587">
        <v>25.9</v>
      </c>
      <c r="I708" s="588">
        <v>22.8</v>
      </c>
      <c r="J708" s="589">
        <f>H708+I708</f>
        <v>48.7</v>
      </c>
      <c r="K708" s="587">
        <f>H708*F708</f>
        <v>2007.25</v>
      </c>
      <c r="L708" s="588">
        <f>I708*F708</f>
        <v>1767</v>
      </c>
      <c r="M708" s="589">
        <f>K708+L708</f>
        <v>3774.25</v>
      </c>
      <c r="N708" s="585">
        <f>M708*$N$7</f>
        <v>926.95580000000007</v>
      </c>
      <c r="O708" s="585">
        <f>ROUND(M708+N708,2)</f>
        <v>4701.21</v>
      </c>
    </row>
    <row r="709" spans="1:15" s="25" customFormat="1" ht="14.25" x14ac:dyDescent="0.2">
      <c r="A709" s="166"/>
      <c r="B709" s="160"/>
      <c r="C709" s="31"/>
      <c r="D709" s="146" t="s">
        <v>288</v>
      </c>
      <c r="E709" s="32"/>
      <c r="F709" s="147"/>
      <c r="G709" s="33"/>
      <c r="H709" s="129"/>
      <c r="I709" s="29"/>
      <c r="J709" s="130"/>
      <c r="K709" s="33"/>
      <c r="L709" s="33"/>
      <c r="M709" s="136"/>
      <c r="N709" s="115"/>
      <c r="O709" s="115"/>
    </row>
    <row r="710" spans="1:15" s="25" customFormat="1" ht="14.25" x14ac:dyDescent="0.2">
      <c r="A710" s="581"/>
      <c r="B710" s="582"/>
      <c r="C710" s="583"/>
      <c r="D710" s="584" t="s">
        <v>223</v>
      </c>
      <c r="E710" s="583"/>
      <c r="F710" s="585"/>
      <c r="G710" s="586"/>
      <c r="H710" s="587"/>
      <c r="I710" s="588"/>
      <c r="J710" s="589"/>
      <c r="K710" s="587"/>
      <c r="L710" s="588"/>
      <c r="M710" s="589"/>
      <c r="N710" s="585"/>
      <c r="O710" s="585"/>
    </row>
    <row r="711" spans="1:15" s="25" customFormat="1" ht="14.25" x14ac:dyDescent="0.2">
      <c r="A711" s="166"/>
      <c r="B711" s="160"/>
      <c r="C711" s="31"/>
      <c r="D711" s="146" t="s">
        <v>288</v>
      </c>
      <c r="E711" s="32"/>
      <c r="F711" s="147"/>
      <c r="G711" s="33"/>
      <c r="H711" s="129"/>
      <c r="I711" s="29"/>
      <c r="J711" s="130"/>
      <c r="K711" s="33"/>
      <c r="L711" s="33"/>
      <c r="M711" s="136"/>
      <c r="N711" s="115"/>
      <c r="O711" s="115"/>
    </row>
    <row r="712" spans="1:15" s="25" customFormat="1" ht="22.5" x14ac:dyDescent="0.2">
      <c r="A712" s="581" t="s">
        <v>277</v>
      </c>
      <c r="B712" s="582" t="s">
        <v>220</v>
      </c>
      <c r="C712" s="583" t="s">
        <v>360</v>
      </c>
      <c r="D712" s="584" t="s">
        <v>38</v>
      </c>
      <c r="E712" s="583" t="s">
        <v>314</v>
      </c>
      <c r="F712" s="585">
        <f>'MEMÓRIA DE CÁLCULO'!D288</f>
        <v>13</v>
      </c>
      <c r="G712" s="586"/>
      <c r="H712" s="587">
        <v>25.9</v>
      </c>
      <c r="I712" s="588">
        <v>22.8</v>
      </c>
      <c r="J712" s="589">
        <f>H712+I712</f>
        <v>48.7</v>
      </c>
      <c r="K712" s="587">
        <f>H712*F712</f>
        <v>336.7</v>
      </c>
      <c r="L712" s="588">
        <f>I712*F712</f>
        <v>296.40000000000003</v>
      </c>
      <c r="M712" s="589">
        <f>K712+L712</f>
        <v>633.1</v>
      </c>
      <c r="N712" s="585">
        <f>M712*$N$7</f>
        <v>155.48936</v>
      </c>
      <c r="O712" s="585">
        <f>ROUND(M712+N712,2)</f>
        <v>788.59</v>
      </c>
    </row>
    <row r="713" spans="1:15" s="25" customFormat="1" ht="14.25" x14ac:dyDescent="0.2">
      <c r="A713" s="166"/>
      <c r="B713" s="160"/>
      <c r="C713" s="31"/>
      <c r="D713" s="146" t="s">
        <v>288</v>
      </c>
      <c r="E713" s="32"/>
      <c r="F713" s="147"/>
      <c r="G713" s="33"/>
      <c r="H713" s="129"/>
      <c r="I713" s="29"/>
      <c r="J713" s="130"/>
      <c r="K713" s="33"/>
      <c r="L713" s="33"/>
      <c r="M713" s="136"/>
      <c r="N713" s="115"/>
      <c r="O713" s="115"/>
    </row>
    <row r="714" spans="1:15" s="25" customFormat="1" ht="33.75" x14ac:dyDescent="0.2">
      <c r="A714" s="581" t="s">
        <v>277</v>
      </c>
      <c r="B714" s="582" t="s">
        <v>220</v>
      </c>
      <c r="C714" s="583" t="s">
        <v>712</v>
      </c>
      <c r="D714" s="584" t="s">
        <v>39</v>
      </c>
      <c r="E714" s="583" t="s">
        <v>314</v>
      </c>
      <c r="F714" s="585">
        <f>'MEMÓRIA DE CÁLCULO'!D320</f>
        <v>18</v>
      </c>
      <c r="G714" s="586"/>
      <c r="H714" s="587">
        <v>25.9</v>
      </c>
      <c r="I714" s="588">
        <v>22.8</v>
      </c>
      <c r="J714" s="589">
        <f>H714+I714</f>
        <v>48.7</v>
      </c>
      <c r="K714" s="587">
        <f>H714*F714</f>
        <v>466.2</v>
      </c>
      <c r="L714" s="588">
        <f>I714*F714</f>
        <v>410.40000000000003</v>
      </c>
      <c r="M714" s="589">
        <f>K714+L714</f>
        <v>876.6</v>
      </c>
      <c r="N714" s="585">
        <f>M714*$N$7</f>
        <v>215.29296000000002</v>
      </c>
      <c r="O714" s="585">
        <f>ROUND(M714+N714,2)</f>
        <v>1091.8900000000001</v>
      </c>
    </row>
    <row r="715" spans="1:15" s="25" customFormat="1" ht="14.25" x14ac:dyDescent="0.2">
      <c r="A715" s="166"/>
      <c r="B715" s="160"/>
      <c r="C715" s="31"/>
      <c r="D715" s="146" t="s">
        <v>288</v>
      </c>
      <c r="E715" s="32"/>
      <c r="F715" s="147"/>
      <c r="G715" s="33"/>
      <c r="H715" s="129"/>
      <c r="I715" s="29"/>
      <c r="J715" s="130"/>
      <c r="K715" s="33"/>
      <c r="L715" s="33"/>
      <c r="M715" s="136"/>
      <c r="N715" s="115"/>
      <c r="O715" s="115"/>
    </row>
    <row r="716" spans="1:15" s="25" customFormat="1" ht="33.75" x14ac:dyDescent="0.2">
      <c r="A716" s="581" t="s">
        <v>277</v>
      </c>
      <c r="B716" s="582" t="s">
        <v>220</v>
      </c>
      <c r="C716" s="583" t="s">
        <v>713</v>
      </c>
      <c r="D716" s="584" t="s">
        <v>40</v>
      </c>
      <c r="E716" s="583" t="s">
        <v>314</v>
      </c>
      <c r="F716" s="585">
        <f>2*'MEMÓRIA DE CÁLCULO'!D321</f>
        <v>10</v>
      </c>
      <c r="G716" s="586"/>
      <c r="H716" s="587">
        <v>25.9</v>
      </c>
      <c r="I716" s="588">
        <v>22.8</v>
      </c>
      <c r="J716" s="589">
        <f>H716+I716</f>
        <v>48.7</v>
      </c>
      <c r="K716" s="587">
        <f>H716*F716</f>
        <v>259</v>
      </c>
      <c r="L716" s="588">
        <f>I716*F716</f>
        <v>228</v>
      </c>
      <c r="M716" s="589">
        <f>K716+L716</f>
        <v>487</v>
      </c>
      <c r="N716" s="585">
        <f>M716*$N$7</f>
        <v>119.60720000000001</v>
      </c>
      <c r="O716" s="585">
        <f>ROUND(M716+N716,2)</f>
        <v>606.61</v>
      </c>
    </row>
    <row r="717" spans="1:15" s="25" customFormat="1" ht="14.25" x14ac:dyDescent="0.2">
      <c r="A717" s="166"/>
      <c r="B717" s="160"/>
      <c r="C717" s="31"/>
      <c r="D717" s="146" t="s">
        <v>288</v>
      </c>
      <c r="E717" s="32"/>
      <c r="F717" s="147"/>
      <c r="G717" s="33"/>
      <c r="H717" s="129"/>
      <c r="I717" s="29"/>
      <c r="J717" s="130"/>
      <c r="K717" s="33"/>
      <c r="L717" s="33"/>
      <c r="M717" s="136"/>
      <c r="N717" s="115"/>
      <c r="O717" s="115"/>
    </row>
    <row r="718" spans="1:15" s="25" customFormat="1" ht="22.5" x14ac:dyDescent="0.2">
      <c r="A718" s="581" t="s">
        <v>225</v>
      </c>
      <c r="B718" s="582" t="s">
        <v>37</v>
      </c>
      <c r="C718" s="583" t="s">
        <v>716</v>
      </c>
      <c r="D718" s="584" t="s">
        <v>54</v>
      </c>
      <c r="E718" s="583" t="s">
        <v>227</v>
      </c>
      <c r="F718" s="585">
        <f>'MEMÓRIA DE CÁLCULO'!D319+2</f>
        <v>13</v>
      </c>
      <c r="G718" s="586"/>
      <c r="H718" s="588">
        <f>ROUND(SUM(H719:H722),2)</f>
        <v>21.5</v>
      </c>
      <c r="I718" s="588">
        <f>ROUND(SUM(I719:I722),2)</f>
        <v>7.09</v>
      </c>
      <c r="J718" s="589">
        <f>H718+I718</f>
        <v>28.59</v>
      </c>
      <c r="K718" s="587">
        <f>H718*F718</f>
        <v>279.5</v>
      </c>
      <c r="L718" s="588">
        <f>I718*F718</f>
        <v>92.17</v>
      </c>
      <c r="M718" s="589">
        <f>K718+L718</f>
        <v>371.67</v>
      </c>
      <c r="N718" s="585">
        <f>M718*$N$7</f>
        <v>91.282152000000011</v>
      </c>
      <c r="O718" s="585">
        <f>ROUND(M718+N718,2)</f>
        <v>462.95</v>
      </c>
    </row>
    <row r="719" spans="1:15" s="369" customFormat="1" ht="11.25" x14ac:dyDescent="0.25">
      <c r="A719" s="362"/>
      <c r="B719" s="363"/>
      <c r="C719" s="364"/>
      <c r="D719" s="365" t="s">
        <v>228</v>
      </c>
      <c r="E719" s="366" t="s">
        <v>229</v>
      </c>
      <c r="F719" s="367">
        <v>0.33</v>
      </c>
      <c r="G719" s="35">
        <v>8.92</v>
      </c>
      <c r="H719" s="133"/>
      <c r="I719" s="35">
        <f>F719*G719</f>
        <v>2.9436</v>
      </c>
      <c r="J719" s="134"/>
      <c r="K719" s="133"/>
      <c r="L719" s="35"/>
      <c r="M719" s="134"/>
      <c r="N719" s="117"/>
      <c r="O719" s="368"/>
    </row>
    <row r="720" spans="1:15" s="369" customFormat="1" ht="11.25" x14ac:dyDescent="0.25">
      <c r="A720" s="362"/>
      <c r="B720" s="363"/>
      <c r="C720" s="364"/>
      <c r="D720" s="365" t="s">
        <v>230</v>
      </c>
      <c r="E720" s="366" t="s">
        <v>229</v>
      </c>
      <c r="F720" s="367">
        <v>0.33</v>
      </c>
      <c r="G720" s="35">
        <v>12.57</v>
      </c>
      <c r="H720" s="133"/>
      <c r="I720" s="35">
        <f>F720*G720</f>
        <v>4.1481000000000003</v>
      </c>
      <c r="J720" s="134"/>
      <c r="K720" s="133"/>
      <c r="L720" s="35"/>
      <c r="M720" s="134"/>
      <c r="N720" s="115"/>
      <c r="O720" s="358"/>
    </row>
    <row r="721" spans="1:15" s="369" customFormat="1" ht="11.25" x14ac:dyDescent="0.25">
      <c r="A721" s="362"/>
      <c r="B721" s="363"/>
      <c r="C721" s="364"/>
      <c r="D721" s="365" t="s">
        <v>36</v>
      </c>
      <c r="E721" s="366" t="s">
        <v>227</v>
      </c>
      <c r="F721" s="367">
        <v>1</v>
      </c>
      <c r="G721" s="35">
        <v>10.75</v>
      </c>
      <c r="H721" s="133">
        <f>F721*G721</f>
        <v>10.75</v>
      </c>
      <c r="I721" s="35"/>
      <c r="J721" s="134"/>
      <c r="K721" s="133"/>
      <c r="L721" s="35"/>
      <c r="M721" s="134"/>
      <c r="N721" s="114"/>
      <c r="O721" s="370"/>
    </row>
    <row r="722" spans="1:15" s="369" customFormat="1" ht="22.5" x14ac:dyDescent="0.25">
      <c r="A722" s="362"/>
      <c r="B722" s="363"/>
      <c r="C722" s="364"/>
      <c r="D722" s="365" t="str">
        <f>D718</f>
        <v>Grelha hemisférica de ferro fundido Ø 100 mm (4") - captação de águas pluviais corredor e fundos do imóvel + laje de cobertura sobre sala OAB</v>
      </c>
      <c r="E722" s="366" t="s">
        <v>227</v>
      </c>
      <c r="F722" s="367">
        <v>1</v>
      </c>
      <c r="G722" s="35">
        <v>10.75</v>
      </c>
      <c r="H722" s="133">
        <f>F722*G722</f>
        <v>10.75</v>
      </c>
      <c r="I722" s="35"/>
      <c r="J722" s="134"/>
      <c r="K722" s="133"/>
      <c r="L722" s="35"/>
      <c r="M722" s="134"/>
      <c r="N722" s="114"/>
      <c r="O722" s="370"/>
    </row>
    <row r="723" spans="1:15" s="25" customFormat="1" ht="14.25" x14ac:dyDescent="0.2">
      <c r="A723" s="166"/>
      <c r="B723" s="160"/>
      <c r="C723" s="31"/>
      <c r="D723" s="146" t="s">
        <v>288</v>
      </c>
      <c r="E723" s="32"/>
      <c r="F723" s="147"/>
      <c r="G723" s="33"/>
      <c r="H723" s="129"/>
      <c r="I723" s="29"/>
      <c r="J723" s="130"/>
      <c r="K723" s="33"/>
      <c r="L723" s="33"/>
      <c r="M723" s="136"/>
      <c r="N723" s="117"/>
      <c r="O723" s="117"/>
    </row>
    <row r="724" spans="1:15" s="356" customFormat="1" ht="11.25" x14ac:dyDescent="0.2">
      <c r="A724" s="402"/>
      <c r="B724" s="403"/>
      <c r="C724" s="404"/>
      <c r="D724" s="405" t="s">
        <v>435</v>
      </c>
      <c r="E724" s="406"/>
      <c r="F724" s="407"/>
      <c r="G724" s="408"/>
      <c r="H724" s="409"/>
      <c r="I724" s="410"/>
      <c r="J724" s="411"/>
      <c r="K724" s="409"/>
      <c r="L724" s="410"/>
      <c r="M724" s="411"/>
      <c r="N724" s="412"/>
      <c r="O724" s="412"/>
    </row>
    <row r="725" spans="1:15" s="25" customFormat="1" ht="14.25" x14ac:dyDescent="0.2">
      <c r="A725" s="166"/>
      <c r="B725" s="160"/>
      <c r="C725" s="31"/>
      <c r="D725" s="146" t="s">
        <v>288</v>
      </c>
      <c r="E725" s="32"/>
      <c r="F725" s="147"/>
      <c r="G725" s="33"/>
      <c r="H725" s="129"/>
      <c r="I725" s="29"/>
      <c r="J725" s="130"/>
      <c r="K725" s="129"/>
      <c r="L725" s="29"/>
      <c r="M725" s="130"/>
      <c r="N725" s="115"/>
      <c r="O725" s="115"/>
    </row>
    <row r="726" spans="1:15" s="361" customFormat="1" ht="11.25" x14ac:dyDescent="0.2">
      <c r="A726" s="359"/>
      <c r="B726" s="149"/>
      <c r="C726" s="152"/>
      <c r="D726" s="154" t="s">
        <v>460</v>
      </c>
      <c r="E726" s="152"/>
      <c r="F726" s="113"/>
      <c r="G726" s="145"/>
      <c r="H726" s="127"/>
      <c r="I726" s="37"/>
      <c r="J726" s="128"/>
      <c r="K726" s="127"/>
      <c r="L726" s="37"/>
      <c r="M726" s="128"/>
      <c r="N726" s="113"/>
      <c r="O726" s="360"/>
    </row>
    <row r="727" spans="1:15" s="361" customFormat="1" ht="11.25" x14ac:dyDescent="0.2">
      <c r="A727" s="359"/>
      <c r="B727" s="149"/>
      <c r="C727" s="152"/>
      <c r="D727" s="154"/>
      <c r="E727" s="152"/>
      <c r="F727" s="113"/>
      <c r="G727" s="145"/>
      <c r="H727" s="127"/>
      <c r="I727" s="179"/>
      <c r="J727" s="128"/>
      <c r="K727" s="127"/>
      <c r="L727" s="37"/>
      <c r="M727" s="128"/>
      <c r="N727" s="113"/>
      <c r="O727" s="360"/>
    </row>
    <row r="728" spans="1:15" s="25" customFormat="1" ht="14.25" x14ac:dyDescent="0.2">
      <c r="A728" s="581" t="s">
        <v>225</v>
      </c>
      <c r="B728" s="582" t="s">
        <v>461</v>
      </c>
      <c r="C728" s="583" t="s">
        <v>717</v>
      </c>
      <c r="D728" s="584" t="s">
        <v>707</v>
      </c>
      <c r="E728" s="583" t="s">
        <v>227</v>
      </c>
      <c r="F728" s="585">
        <f>'MEMÓRIA DE CÁLCULO'!O59</f>
        <v>21</v>
      </c>
      <c r="G728" s="586"/>
      <c r="H728" s="588">
        <f>ROUND(SUM(H729:H734),2)</f>
        <v>29.91</v>
      </c>
      <c r="I728" s="588">
        <f>ROUND(SUM(I729:I734),2)</f>
        <v>64.47</v>
      </c>
      <c r="J728" s="589">
        <f>H728+I728</f>
        <v>94.38</v>
      </c>
      <c r="K728" s="587">
        <f>H728*F728</f>
        <v>628.11</v>
      </c>
      <c r="L728" s="588">
        <f>I728*F728</f>
        <v>1353.87</v>
      </c>
      <c r="M728" s="589">
        <f>K728+L728</f>
        <v>1981.98</v>
      </c>
      <c r="N728" s="585">
        <f>M728*$N$7</f>
        <v>486.77428800000001</v>
      </c>
      <c r="O728" s="585">
        <f>ROUND(M728+N728,2)</f>
        <v>2468.75</v>
      </c>
    </row>
    <row r="729" spans="1:15" s="369" customFormat="1" ht="11.25" x14ac:dyDescent="0.25">
      <c r="A729" s="362"/>
      <c r="B729" s="363"/>
      <c r="C729" s="364"/>
      <c r="D729" s="365" t="s">
        <v>228</v>
      </c>
      <c r="E729" s="366" t="s">
        <v>229</v>
      </c>
      <c r="F729" s="367">
        <v>3</v>
      </c>
      <c r="G729" s="35">
        <v>8.92</v>
      </c>
      <c r="H729" s="133"/>
      <c r="I729" s="35">
        <f>F729*G729</f>
        <v>26.759999999999998</v>
      </c>
      <c r="J729" s="134"/>
      <c r="K729" s="133"/>
      <c r="L729" s="35"/>
      <c r="M729" s="134"/>
      <c r="N729" s="117"/>
      <c r="O729" s="368"/>
    </row>
    <row r="730" spans="1:15" s="369" customFormat="1" ht="11.25" x14ac:dyDescent="0.25">
      <c r="A730" s="362"/>
      <c r="B730" s="363"/>
      <c r="C730" s="364"/>
      <c r="D730" s="365" t="s">
        <v>230</v>
      </c>
      <c r="E730" s="366" t="s">
        <v>229</v>
      </c>
      <c r="F730" s="367">
        <v>3</v>
      </c>
      <c r="G730" s="35">
        <v>12.57</v>
      </c>
      <c r="H730" s="133"/>
      <c r="I730" s="35">
        <f>F730*G730</f>
        <v>37.71</v>
      </c>
      <c r="J730" s="134"/>
      <c r="K730" s="133"/>
      <c r="L730" s="35"/>
      <c r="M730" s="134"/>
      <c r="N730" s="115"/>
      <c r="O730" s="358"/>
    </row>
    <row r="731" spans="1:15" s="369" customFormat="1" ht="11.25" x14ac:dyDescent="0.25">
      <c r="A731" s="362"/>
      <c r="B731" s="363"/>
      <c r="C731" s="364"/>
      <c r="D731" s="365" t="s">
        <v>462</v>
      </c>
      <c r="E731" s="366" t="s">
        <v>248</v>
      </c>
      <c r="F731" s="367">
        <v>8</v>
      </c>
      <c r="G731" s="35">
        <v>1.9</v>
      </c>
      <c r="H731" s="133">
        <f>F731*G731</f>
        <v>15.2</v>
      </c>
      <c r="I731" s="35"/>
      <c r="J731" s="134"/>
      <c r="K731" s="133"/>
      <c r="L731" s="35"/>
      <c r="M731" s="134"/>
      <c r="N731" s="114"/>
      <c r="O731" s="370"/>
    </row>
    <row r="732" spans="1:15" s="379" customFormat="1" ht="22.5" x14ac:dyDescent="0.25">
      <c r="A732" s="362"/>
      <c r="B732" s="363"/>
      <c r="C732" s="364"/>
      <c r="D732" s="365" t="s">
        <v>463</v>
      </c>
      <c r="E732" s="366" t="s">
        <v>227</v>
      </c>
      <c r="F732" s="367">
        <v>1</v>
      </c>
      <c r="G732" s="371">
        <v>2.0099999999999998</v>
      </c>
      <c r="H732" s="133">
        <f>F732*G732</f>
        <v>2.0099999999999998</v>
      </c>
      <c r="I732" s="372"/>
      <c r="J732" s="373"/>
      <c r="K732" s="374"/>
      <c r="L732" s="375"/>
      <c r="M732" s="376"/>
      <c r="N732" s="377"/>
      <c r="O732" s="378"/>
    </row>
    <row r="733" spans="1:15" s="379" customFormat="1" ht="22.5" x14ac:dyDescent="0.25">
      <c r="A733" s="362"/>
      <c r="B733" s="363"/>
      <c r="C733" s="364"/>
      <c r="D733" s="365" t="s">
        <v>464</v>
      </c>
      <c r="E733" s="366" t="s">
        <v>227</v>
      </c>
      <c r="F733" s="367">
        <v>3</v>
      </c>
      <c r="G733" s="371">
        <v>1.58</v>
      </c>
      <c r="H733" s="133">
        <f>F733*G733</f>
        <v>4.74</v>
      </c>
      <c r="I733" s="372"/>
      <c r="J733" s="373"/>
      <c r="K733" s="374"/>
      <c r="L733" s="375"/>
      <c r="M733" s="376"/>
      <c r="N733" s="377"/>
      <c r="O733" s="378"/>
    </row>
    <row r="734" spans="1:15" s="379" customFormat="1" ht="22.5" x14ac:dyDescent="0.25">
      <c r="A734" s="362"/>
      <c r="B734" s="363"/>
      <c r="C734" s="364"/>
      <c r="D734" s="380" t="s">
        <v>465</v>
      </c>
      <c r="E734" s="364" t="s">
        <v>227</v>
      </c>
      <c r="F734" s="367">
        <v>1</v>
      </c>
      <c r="G734" s="381">
        <v>7.96</v>
      </c>
      <c r="H734" s="133">
        <f>F734*G734</f>
        <v>7.96</v>
      </c>
      <c r="I734" s="382"/>
      <c r="J734" s="373"/>
      <c r="K734" s="374"/>
      <c r="L734" s="375"/>
      <c r="M734" s="376"/>
      <c r="N734" s="377"/>
      <c r="O734" s="378"/>
    </row>
    <row r="735" spans="1:15" s="379" customFormat="1" ht="11.25" x14ac:dyDescent="0.25">
      <c r="A735" s="362"/>
      <c r="B735" s="363"/>
      <c r="C735" s="364"/>
      <c r="D735" s="365"/>
      <c r="E735" s="366"/>
      <c r="F735" s="380"/>
      <c r="G735" s="383"/>
      <c r="H735" s="384"/>
      <c r="I735" s="372"/>
      <c r="J735" s="373"/>
      <c r="K735" s="374"/>
      <c r="L735" s="375"/>
      <c r="M735" s="376"/>
      <c r="N735" s="377"/>
      <c r="O735" s="378"/>
    </row>
    <row r="736" spans="1:15" s="25" customFormat="1" ht="22.5" x14ac:dyDescent="0.2">
      <c r="A736" s="581" t="s">
        <v>225</v>
      </c>
      <c r="B736" s="582" t="s">
        <v>1018</v>
      </c>
      <c r="C736" s="583" t="s">
        <v>779</v>
      </c>
      <c r="D736" s="584" t="s">
        <v>708</v>
      </c>
      <c r="E736" s="583" t="s">
        <v>227</v>
      </c>
      <c r="F736" s="585">
        <f>'MEMÓRIA DE CÁLCULO'!P59</f>
        <v>1</v>
      </c>
      <c r="G736" s="586"/>
      <c r="H736" s="588">
        <f>ROUND(SUM(H737:H742),2)</f>
        <v>63.83</v>
      </c>
      <c r="I736" s="588">
        <f>ROUND(SUM(I737:I742),2)</f>
        <v>64.47</v>
      </c>
      <c r="J736" s="589">
        <f>H736+I736</f>
        <v>128.30000000000001</v>
      </c>
      <c r="K736" s="587">
        <f>H736*F736</f>
        <v>63.83</v>
      </c>
      <c r="L736" s="588">
        <f>I736*F736</f>
        <v>64.47</v>
      </c>
      <c r="M736" s="589">
        <f>K736+L736</f>
        <v>128.30000000000001</v>
      </c>
      <c r="N736" s="585">
        <f>M736*$N$7</f>
        <v>31.510480000000005</v>
      </c>
      <c r="O736" s="585">
        <f>ROUND(M736+N736,2)</f>
        <v>159.81</v>
      </c>
    </row>
    <row r="737" spans="1:15" s="369" customFormat="1" ht="18.75" customHeight="1" x14ac:dyDescent="0.25">
      <c r="A737" s="362"/>
      <c r="B737" s="363"/>
      <c r="C737" s="364"/>
      <c r="D737" s="365" t="s">
        <v>228</v>
      </c>
      <c r="E737" s="366" t="s">
        <v>229</v>
      </c>
      <c r="F737" s="367">
        <v>3</v>
      </c>
      <c r="G737" s="35">
        <v>8.92</v>
      </c>
      <c r="H737" s="385"/>
      <c r="I737" s="386">
        <f>F737*G737</f>
        <v>26.759999999999998</v>
      </c>
      <c r="J737" s="387"/>
      <c r="K737" s="374"/>
      <c r="L737" s="388"/>
      <c r="M737" s="389"/>
      <c r="N737" s="390"/>
      <c r="O737" s="363"/>
    </row>
    <row r="738" spans="1:15" s="369" customFormat="1" ht="11.25" x14ac:dyDescent="0.25">
      <c r="A738" s="362"/>
      <c r="B738" s="363"/>
      <c r="C738" s="364"/>
      <c r="D738" s="365" t="s">
        <v>230</v>
      </c>
      <c r="E738" s="366" t="s">
        <v>229</v>
      </c>
      <c r="F738" s="367">
        <v>3</v>
      </c>
      <c r="G738" s="35">
        <v>12.57</v>
      </c>
      <c r="H738" s="385"/>
      <c r="I738" s="386">
        <f>F738*G738</f>
        <v>37.71</v>
      </c>
      <c r="J738" s="387"/>
      <c r="K738" s="374"/>
      <c r="L738" s="388"/>
      <c r="M738" s="389"/>
      <c r="N738" s="390"/>
      <c r="O738" s="363"/>
    </row>
    <row r="739" spans="1:15" s="369" customFormat="1" ht="18" customHeight="1" x14ac:dyDescent="0.25">
      <c r="A739" s="391"/>
      <c r="B739" s="392"/>
      <c r="C739" s="366"/>
      <c r="D739" s="365" t="s">
        <v>467</v>
      </c>
      <c r="E739" s="366" t="s">
        <v>248</v>
      </c>
      <c r="F739" s="367">
        <v>8</v>
      </c>
      <c r="G739" s="371">
        <v>4.37</v>
      </c>
      <c r="H739" s="385">
        <f>F739*G739</f>
        <v>34.96</v>
      </c>
      <c r="I739" s="386"/>
      <c r="J739" s="387"/>
      <c r="K739" s="374"/>
      <c r="L739" s="388"/>
      <c r="M739" s="389"/>
      <c r="N739" s="390"/>
      <c r="O739" s="363"/>
    </row>
    <row r="740" spans="1:15" s="369" customFormat="1" ht="21" customHeight="1" x14ac:dyDescent="0.25">
      <c r="A740" s="362"/>
      <c r="B740" s="363"/>
      <c r="C740" s="364"/>
      <c r="D740" s="380" t="s">
        <v>468</v>
      </c>
      <c r="E740" s="366" t="s">
        <v>227</v>
      </c>
      <c r="F740" s="367">
        <v>1</v>
      </c>
      <c r="G740" s="381">
        <v>1.07</v>
      </c>
      <c r="H740" s="385">
        <f>F740*G740</f>
        <v>1.07</v>
      </c>
      <c r="I740" s="393"/>
      <c r="J740" s="394"/>
      <c r="K740" s="364"/>
      <c r="L740" s="388"/>
      <c r="M740" s="389"/>
      <c r="N740" s="390"/>
      <c r="O740" s="363"/>
    </row>
    <row r="741" spans="1:15" s="369" customFormat="1" ht="31.5" customHeight="1" x14ac:dyDescent="0.25">
      <c r="A741" s="362"/>
      <c r="B741" s="363"/>
      <c r="C741" s="364"/>
      <c r="D741" s="380" t="s">
        <v>469</v>
      </c>
      <c r="E741" s="366" t="s">
        <v>227</v>
      </c>
      <c r="F741" s="367">
        <v>3</v>
      </c>
      <c r="G741" s="381">
        <v>7.82</v>
      </c>
      <c r="H741" s="385">
        <f>F741*G741</f>
        <v>23.46</v>
      </c>
      <c r="I741" s="393"/>
      <c r="J741" s="394"/>
      <c r="K741" s="364"/>
      <c r="L741" s="388"/>
      <c r="M741" s="389"/>
      <c r="N741" s="390"/>
      <c r="O741" s="363"/>
    </row>
    <row r="742" spans="1:15" s="369" customFormat="1" ht="30.75" customHeight="1" x14ac:dyDescent="0.25">
      <c r="A742" s="362"/>
      <c r="B742" s="363"/>
      <c r="C742" s="364"/>
      <c r="D742" s="380" t="s">
        <v>470</v>
      </c>
      <c r="E742" s="366" t="s">
        <v>227</v>
      </c>
      <c r="F742" s="367">
        <v>1</v>
      </c>
      <c r="G742" s="381">
        <v>4.34</v>
      </c>
      <c r="H742" s="385">
        <f>F742*G742</f>
        <v>4.34</v>
      </c>
      <c r="I742" s="393"/>
      <c r="J742" s="394"/>
      <c r="K742" s="364"/>
      <c r="L742" s="388"/>
      <c r="M742" s="389"/>
      <c r="N742" s="390"/>
      <c r="O742" s="363"/>
    </row>
    <row r="743" spans="1:15" s="369" customFormat="1" ht="11.25" x14ac:dyDescent="0.25">
      <c r="A743" s="362"/>
      <c r="B743" s="363"/>
      <c r="C743" s="364"/>
      <c r="D743" s="363"/>
      <c r="E743" s="364"/>
      <c r="F743" s="367"/>
      <c r="G743" s="381"/>
      <c r="H743" s="367"/>
      <c r="I743" s="393"/>
      <c r="J743" s="394"/>
      <c r="K743" s="364"/>
      <c r="L743" s="388"/>
      <c r="M743" s="389"/>
      <c r="N743" s="390"/>
      <c r="O743" s="363"/>
    </row>
    <row r="744" spans="1:15" s="25" customFormat="1" ht="14.25" x14ac:dyDescent="0.2">
      <c r="A744" s="581" t="s">
        <v>225</v>
      </c>
      <c r="B744" s="582" t="s">
        <v>471</v>
      </c>
      <c r="C744" s="583" t="s">
        <v>780</v>
      </c>
      <c r="D744" s="584" t="s">
        <v>709</v>
      </c>
      <c r="E744" s="583" t="s">
        <v>227</v>
      </c>
      <c r="F744" s="585">
        <f>'MEMÓRIA DE CÁLCULO'!Q59</f>
        <v>8</v>
      </c>
      <c r="G744" s="586">
        <v>51.288494999999998</v>
      </c>
      <c r="H744" s="588">
        <f>ROUND(SUM(H745:H750),2)</f>
        <v>73.27</v>
      </c>
      <c r="I744" s="588">
        <f>ROUND(SUM(I745:I750),2)</f>
        <v>75.22</v>
      </c>
      <c r="J744" s="589">
        <f>H744+I744</f>
        <v>148.49</v>
      </c>
      <c r="K744" s="587">
        <f>H744*F744</f>
        <v>586.16</v>
      </c>
      <c r="L744" s="588">
        <f>I744*F744</f>
        <v>601.76</v>
      </c>
      <c r="M744" s="589">
        <f>K744+L744</f>
        <v>1187.92</v>
      </c>
      <c r="N744" s="585">
        <f>M744*$N$7</f>
        <v>291.75315200000006</v>
      </c>
      <c r="O744" s="585">
        <f>ROUND(M744+N744,2)</f>
        <v>1479.67</v>
      </c>
    </row>
    <row r="745" spans="1:15" s="379" customFormat="1" ht="24" customHeight="1" x14ac:dyDescent="0.25">
      <c r="A745" s="362"/>
      <c r="B745" s="363"/>
      <c r="C745" s="364"/>
      <c r="D745" s="380" t="s">
        <v>228</v>
      </c>
      <c r="E745" s="364" t="s">
        <v>229</v>
      </c>
      <c r="F745" s="367">
        <v>3.5</v>
      </c>
      <c r="G745" s="35">
        <v>8.92</v>
      </c>
      <c r="H745" s="385"/>
      <c r="I745" s="386">
        <f>F745*G745</f>
        <v>31.22</v>
      </c>
      <c r="J745" s="387"/>
      <c r="K745" s="374"/>
      <c r="L745" s="375"/>
      <c r="M745" s="376"/>
      <c r="N745" s="377"/>
      <c r="O745" s="378"/>
    </row>
    <row r="746" spans="1:15" s="379" customFormat="1" ht="11.25" x14ac:dyDescent="0.25">
      <c r="A746" s="362"/>
      <c r="B746" s="363"/>
      <c r="C746" s="364"/>
      <c r="D746" s="380" t="s">
        <v>230</v>
      </c>
      <c r="E746" s="364" t="s">
        <v>229</v>
      </c>
      <c r="F746" s="367">
        <v>3.5</v>
      </c>
      <c r="G746" s="35">
        <v>12.57</v>
      </c>
      <c r="H746" s="385"/>
      <c r="I746" s="386">
        <f>F746*G746</f>
        <v>43.995000000000005</v>
      </c>
      <c r="J746" s="387"/>
      <c r="K746" s="374"/>
      <c r="L746" s="375"/>
      <c r="M746" s="376"/>
      <c r="N746" s="377"/>
      <c r="O746" s="378"/>
    </row>
    <row r="747" spans="1:15" s="369" customFormat="1" ht="11.25" x14ac:dyDescent="0.25">
      <c r="A747" s="362"/>
      <c r="B747" s="363"/>
      <c r="C747" s="364"/>
      <c r="D747" s="380" t="s">
        <v>473</v>
      </c>
      <c r="E747" s="364" t="s">
        <v>227</v>
      </c>
      <c r="F747" s="367">
        <v>1</v>
      </c>
      <c r="G747" s="371">
        <v>8.14</v>
      </c>
      <c r="H747" s="385">
        <f>F747*G747</f>
        <v>8.14</v>
      </c>
      <c r="I747" s="386"/>
      <c r="J747" s="387"/>
      <c r="K747" s="374"/>
      <c r="L747" s="375"/>
      <c r="M747" s="376"/>
      <c r="N747" s="377"/>
      <c r="O747" s="378"/>
    </row>
    <row r="748" spans="1:15" s="369" customFormat="1" ht="11.25" x14ac:dyDescent="0.25">
      <c r="A748" s="362"/>
      <c r="B748" s="363"/>
      <c r="C748" s="364"/>
      <c r="D748" s="380" t="s">
        <v>474</v>
      </c>
      <c r="E748" s="364" t="s">
        <v>248</v>
      </c>
      <c r="F748" s="367">
        <v>6</v>
      </c>
      <c r="G748" s="371">
        <v>7.19</v>
      </c>
      <c r="H748" s="385">
        <f>F748*G748</f>
        <v>43.14</v>
      </c>
      <c r="I748" s="386"/>
      <c r="J748" s="387"/>
      <c r="K748" s="374"/>
      <c r="L748" s="375"/>
      <c r="M748" s="376"/>
      <c r="N748" s="377"/>
      <c r="O748" s="378"/>
    </row>
    <row r="749" spans="1:15" s="369" customFormat="1" ht="22.5" x14ac:dyDescent="0.25">
      <c r="A749" s="362"/>
      <c r="B749" s="363"/>
      <c r="C749" s="364"/>
      <c r="D749" s="380" t="s">
        <v>475</v>
      </c>
      <c r="E749" s="364" t="s">
        <v>227</v>
      </c>
      <c r="F749" s="367">
        <v>1</v>
      </c>
      <c r="G749" s="371">
        <v>12.83</v>
      </c>
      <c r="H749" s="385">
        <f>F749*G749</f>
        <v>12.83</v>
      </c>
      <c r="I749" s="386"/>
      <c r="J749" s="387"/>
      <c r="K749" s="374"/>
      <c r="L749" s="375"/>
      <c r="M749" s="376"/>
      <c r="N749" s="377"/>
      <c r="O749" s="378"/>
    </row>
    <row r="750" spans="1:15" s="369" customFormat="1" ht="22.5" x14ac:dyDescent="0.25">
      <c r="A750" s="362"/>
      <c r="B750" s="363"/>
      <c r="C750" s="364"/>
      <c r="D750" s="380" t="s">
        <v>476</v>
      </c>
      <c r="E750" s="364" t="s">
        <v>227</v>
      </c>
      <c r="F750" s="367">
        <v>2</v>
      </c>
      <c r="G750" s="371">
        <v>4.58</v>
      </c>
      <c r="H750" s="385">
        <f>F750*G750</f>
        <v>9.16</v>
      </c>
      <c r="I750" s="386"/>
      <c r="J750" s="387"/>
      <c r="K750" s="374"/>
      <c r="L750" s="375"/>
      <c r="M750" s="376"/>
      <c r="N750" s="377"/>
      <c r="O750" s="378"/>
    </row>
    <row r="751" spans="1:15" s="25" customFormat="1" ht="14.25" x14ac:dyDescent="0.2">
      <c r="A751" s="581" t="s">
        <v>225</v>
      </c>
      <c r="B751" s="582" t="s">
        <v>477</v>
      </c>
      <c r="C751" s="583" t="s">
        <v>781</v>
      </c>
      <c r="D751" s="584" t="s">
        <v>710</v>
      </c>
      <c r="E751" s="583" t="s">
        <v>227</v>
      </c>
      <c r="F751" s="585">
        <f>'MEMÓRIA DE CÁLCULO'!R59</f>
        <v>12</v>
      </c>
      <c r="G751" s="586">
        <v>36.808495000000001</v>
      </c>
      <c r="H751" s="588">
        <f>ROUND(SUM(H752:H757),2)</f>
        <v>44.22</v>
      </c>
      <c r="I751" s="588">
        <f>ROUND(SUM(I752:I757),2)</f>
        <v>64.47</v>
      </c>
      <c r="J751" s="589">
        <f>H751+I751</f>
        <v>108.69</v>
      </c>
      <c r="K751" s="587">
        <f>H751*F751</f>
        <v>530.64</v>
      </c>
      <c r="L751" s="588">
        <f>I751*F751</f>
        <v>773.64</v>
      </c>
      <c r="M751" s="589">
        <f>K751+L751</f>
        <v>1304.28</v>
      </c>
      <c r="N751" s="585">
        <f>M751*$N$7</f>
        <v>320.33116799999999</v>
      </c>
      <c r="O751" s="585">
        <f>ROUND(M751+N751,2)</f>
        <v>1624.61</v>
      </c>
    </row>
    <row r="752" spans="1:15" s="369" customFormat="1" ht="11.25" x14ac:dyDescent="0.25">
      <c r="A752" s="362"/>
      <c r="B752" s="363"/>
      <c r="C752" s="364"/>
      <c r="D752" s="380" t="s">
        <v>228</v>
      </c>
      <c r="E752" s="364" t="s">
        <v>229</v>
      </c>
      <c r="F752" s="367">
        <v>3</v>
      </c>
      <c r="G752" s="371">
        <v>8.92</v>
      </c>
      <c r="H752" s="385"/>
      <c r="I752" s="386">
        <f>F752*G752</f>
        <v>26.759999999999998</v>
      </c>
      <c r="J752" s="387"/>
      <c r="K752" s="374"/>
      <c r="L752" s="375"/>
      <c r="M752" s="376"/>
      <c r="N752" s="377"/>
      <c r="O752" s="378"/>
    </row>
    <row r="753" spans="1:15" s="369" customFormat="1" ht="11.25" x14ac:dyDescent="0.25">
      <c r="A753" s="362"/>
      <c r="B753" s="363"/>
      <c r="C753" s="364"/>
      <c r="D753" s="380" t="s">
        <v>230</v>
      </c>
      <c r="E753" s="364" t="s">
        <v>229</v>
      </c>
      <c r="F753" s="367">
        <v>3</v>
      </c>
      <c r="G753" s="371">
        <v>12.57</v>
      </c>
      <c r="H753" s="385"/>
      <c r="I753" s="386">
        <f>F753*G753</f>
        <v>37.71</v>
      </c>
      <c r="J753" s="387"/>
      <c r="K753" s="374"/>
      <c r="L753" s="375"/>
      <c r="M753" s="376"/>
      <c r="N753" s="377"/>
      <c r="O753" s="378"/>
    </row>
    <row r="754" spans="1:15" s="369" customFormat="1" ht="15" customHeight="1" x14ac:dyDescent="0.25">
      <c r="A754" s="362"/>
      <c r="B754" s="363"/>
      <c r="C754" s="364"/>
      <c r="D754" s="380" t="s">
        <v>479</v>
      </c>
      <c r="E754" s="364" t="s">
        <v>248</v>
      </c>
      <c r="F754" s="367">
        <v>6</v>
      </c>
      <c r="G754" s="371">
        <v>4.43</v>
      </c>
      <c r="H754" s="385">
        <f>F754*G754</f>
        <v>26.58</v>
      </c>
      <c r="I754" s="386"/>
      <c r="J754" s="387"/>
      <c r="K754" s="374"/>
      <c r="L754" s="375"/>
      <c r="M754" s="376"/>
      <c r="N754" s="377"/>
      <c r="O754" s="378"/>
    </row>
    <row r="755" spans="1:15" s="369" customFormat="1" ht="15" customHeight="1" x14ac:dyDescent="0.25">
      <c r="A755" s="362"/>
      <c r="B755" s="363"/>
      <c r="C755" s="364"/>
      <c r="D755" s="380" t="s">
        <v>480</v>
      </c>
      <c r="E755" s="364" t="s">
        <v>227</v>
      </c>
      <c r="F755" s="367">
        <v>1</v>
      </c>
      <c r="G755" s="371">
        <v>3.62</v>
      </c>
      <c r="H755" s="385">
        <f>F755*G755</f>
        <v>3.62</v>
      </c>
      <c r="I755" s="386"/>
      <c r="J755" s="387"/>
      <c r="K755" s="374"/>
      <c r="L755" s="375"/>
      <c r="M755" s="376"/>
      <c r="N755" s="377"/>
      <c r="O755" s="378"/>
    </row>
    <row r="756" spans="1:15" s="369" customFormat="1" ht="22.5" x14ac:dyDescent="0.25">
      <c r="A756" s="362"/>
      <c r="B756" s="363"/>
      <c r="C756" s="364"/>
      <c r="D756" s="380" t="s">
        <v>481</v>
      </c>
      <c r="E756" s="364" t="s">
        <v>227</v>
      </c>
      <c r="F756" s="367">
        <v>1</v>
      </c>
      <c r="G756" s="371">
        <v>8.3800000000000008</v>
      </c>
      <c r="H756" s="385">
        <f>F756*G756</f>
        <v>8.3800000000000008</v>
      </c>
      <c r="I756" s="386"/>
      <c r="J756" s="387"/>
      <c r="K756" s="374"/>
      <c r="L756" s="375"/>
      <c r="M756" s="376"/>
      <c r="N756" s="377"/>
      <c r="O756" s="378"/>
    </row>
    <row r="757" spans="1:15" s="369" customFormat="1" ht="18" customHeight="1" x14ac:dyDescent="0.25">
      <c r="A757" s="395"/>
      <c r="B757" s="380"/>
      <c r="C757" s="396"/>
      <c r="D757" s="380" t="s">
        <v>482</v>
      </c>
      <c r="E757" s="396" t="s">
        <v>227</v>
      </c>
      <c r="F757" s="367">
        <v>2</v>
      </c>
      <c r="G757" s="381">
        <v>2.82</v>
      </c>
      <c r="H757" s="385">
        <f>F757*G757</f>
        <v>5.64</v>
      </c>
      <c r="I757" s="393"/>
      <c r="J757" s="394"/>
      <c r="K757" s="396"/>
      <c r="L757" s="375"/>
      <c r="M757" s="376"/>
      <c r="N757" s="377"/>
      <c r="O757" s="378"/>
    </row>
    <row r="758" spans="1:15" s="369" customFormat="1" ht="15" customHeight="1" x14ac:dyDescent="0.25">
      <c r="A758" s="395"/>
      <c r="B758" s="380"/>
      <c r="C758" s="396"/>
      <c r="D758" s="380"/>
      <c r="E758" s="396"/>
      <c r="F758" s="367"/>
      <c r="G758" s="381"/>
      <c r="H758" s="397"/>
      <c r="I758" s="393"/>
      <c r="J758" s="394"/>
      <c r="K758" s="396"/>
      <c r="L758" s="372"/>
      <c r="M758" s="373"/>
      <c r="N758" s="398"/>
      <c r="O758" s="378"/>
    </row>
    <row r="759" spans="1:15" s="25" customFormat="1" ht="14.25" x14ac:dyDescent="0.2">
      <c r="A759" s="167"/>
      <c r="B759" s="149"/>
      <c r="C759" s="152"/>
      <c r="D759" s="154" t="s">
        <v>213</v>
      </c>
      <c r="E759" s="152"/>
      <c r="F759" s="113"/>
      <c r="G759" s="145"/>
      <c r="H759" s="127"/>
      <c r="I759" s="37"/>
      <c r="J759" s="128"/>
      <c r="K759" s="179"/>
      <c r="L759" s="37"/>
      <c r="M759" s="128"/>
      <c r="N759" s="113"/>
      <c r="O759" s="113"/>
    </row>
    <row r="760" spans="1:15" s="25" customFormat="1" ht="14.25" x14ac:dyDescent="0.2">
      <c r="A760" s="166"/>
      <c r="B760" s="160"/>
      <c r="C760" s="31"/>
      <c r="D760" s="146" t="s">
        <v>288</v>
      </c>
      <c r="E760" s="32"/>
      <c r="F760" s="147"/>
      <c r="G760" s="33"/>
      <c r="H760" s="129"/>
      <c r="I760" s="29"/>
      <c r="J760" s="130"/>
      <c r="K760" s="33"/>
      <c r="L760" s="33"/>
      <c r="M760" s="136"/>
      <c r="N760" s="115"/>
      <c r="O760" s="115"/>
    </row>
    <row r="761" spans="1:15" s="25" customFormat="1" ht="22.5" x14ac:dyDescent="0.2">
      <c r="A761" s="581" t="s">
        <v>277</v>
      </c>
      <c r="B761" s="582" t="s">
        <v>214</v>
      </c>
      <c r="C761" s="583" t="s">
        <v>782</v>
      </c>
      <c r="D761" s="584" t="s">
        <v>714</v>
      </c>
      <c r="E761" s="583" t="s">
        <v>281</v>
      </c>
      <c r="F761" s="585">
        <f>'MEMÓRIA DE CÁLCULO'!AK59</f>
        <v>1</v>
      </c>
      <c r="G761" s="586"/>
      <c r="H761" s="587">
        <v>100.95</v>
      </c>
      <c r="I761" s="588">
        <v>19.5</v>
      </c>
      <c r="J761" s="589">
        <f>H761+I761</f>
        <v>120.45</v>
      </c>
      <c r="K761" s="587">
        <f>H761*F761</f>
        <v>100.95</v>
      </c>
      <c r="L761" s="588">
        <f>I761*F761</f>
        <v>19.5</v>
      </c>
      <c r="M761" s="589">
        <f>K761+L761</f>
        <v>120.45</v>
      </c>
      <c r="N761" s="585">
        <f>M761*$N$7</f>
        <v>29.582520000000002</v>
      </c>
      <c r="O761" s="585">
        <f>ROUND(M761+N761,2)</f>
        <v>150.03</v>
      </c>
    </row>
    <row r="762" spans="1:15" s="25" customFormat="1" ht="14.25" x14ac:dyDescent="0.2">
      <c r="A762" s="166"/>
      <c r="B762" s="160"/>
      <c r="C762" s="31"/>
      <c r="D762" s="146" t="s">
        <v>288</v>
      </c>
      <c r="E762" s="32"/>
      <c r="F762" s="147"/>
      <c r="G762" s="33"/>
      <c r="H762" s="129"/>
      <c r="I762" s="29"/>
      <c r="J762" s="130"/>
      <c r="K762" s="33"/>
      <c r="L762" s="33"/>
      <c r="M762" s="136"/>
      <c r="N762" s="115"/>
      <c r="O762" s="115"/>
    </row>
    <row r="763" spans="1:15" s="25" customFormat="1" ht="22.5" x14ac:dyDescent="0.2">
      <c r="A763" s="581" t="s">
        <v>277</v>
      </c>
      <c r="B763" s="582" t="s">
        <v>215</v>
      </c>
      <c r="C763" s="583" t="s">
        <v>783</v>
      </c>
      <c r="D763" s="584" t="s">
        <v>715</v>
      </c>
      <c r="E763" s="583" t="s">
        <v>281</v>
      </c>
      <c r="F763" s="585">
        <f>'MEMÓRIA DE CÁLCULO'!AJ59</f>
        <v>10</v>
      </c>
      <c r="G763" s="586"/>
      <c r="H763" s="587">
        <v>53.08</v>
      </c>
      <c r="I763" s="588">
        <v>12.52</v>
      </c>
      <c r="J763" s="589">
        <f>H763+I763</f>
        <v>65.599999999999994</v>
      </c>
      <c r="K763" s="587">
        <f>H763*F763</f>
        <v>530.79999999999995</v>
      </c>
      <c r="L763" s="588">
        <f>I763*F763</f>
        <v>125.19999999999999</v>
      </c>
      <c r="M763" s="589">
        <f>K763+L763</f>
        <v>656</v>
      </c>
      <c r="N763" s="585">
        <f>M763*$N$7</f>
        <v>161.11360000000002</v>
      </c>
      <c r="O763" s="585">
        <f>ROUND(M763+N763,2)</f>
        <v>817.11</v>
      </c>
    </row>
    <row r="764" spans="1:15" s="25" customFormat="1" ht="14.25" x14ac:dyDescent="0.2">
      <c r="A764" s="166"/>
      <c r="B764" s="160"/>
      <c r="C764" s="31"/>
      <c r="D764" s="146" t="s">
        <v>288</v>
      </c>
      <c r="E764" s="32"/>
      <c r="F764" s="147"/>
      <c r="G764" s="33"/>
      <c r="H764" s="129"/>
      <c r="I764" s="29"/>
      <c r="J764" s="130"/>
      <c r="K764" s="33"/>
      <c r="L764" s="33"/>
      <c r="M764" s="136"/>
      <c r="N764" s="115"/>
      <c r="O764" s="115"/>
    </row>
    <row r="765" spans="1:15" s="25" customFormat="1" ht="14.25" x14ac:dyDescent="0.2">
      <c r="A765" s="167"/>
      <c r="B765" s="149"/>
      <c r="C765" s="152"/>
      <c r="D765" s="154" t="s">
        <v>216</v>
      </c>
      <c r="E765" s="152"/>
      <c r="F765" s="113"/>
      <c r="G765" s="145"/>
      <c r="H765" s="127"/>
      <c r="I765" s="37"/>
      <c r="J765" s="128"/>
      <c r="K765" s="179"/>
      <c r="L765" s="37"/>
      <c r="M765" s="128"/>
      <c r="N765" s="113"/>
      <c r="O765" s="113"/>
    </row>
    <row r="766" spans="1:15" s="25" customFormat="1" ht="14.25" x14ac:dyDescent="0.2">
      <c r="A766" s="166"/>
      <c r="B766" s="160"/>
      <c r="C766" s="31"/>
      <c r="D766" s="146" t="s">
        <v>288</v>
      </c>
      <c r="E766" s="32"/>
      <c r="F766" s="147"/>
      <c r="G766" s="33"/>
      <c r="H766" s="129"/>
      <c r="I766" s="29"/>
      <c r="J766" s="130"/>
      <c r="K766" s="33"/>
      <c r="L766" s="33"/>
      <c r="M766" s="136"/>
      <c r="N766" s="115"/>
      <c r="O766" s="115"/>
    </row>
    <row r="767" spans="1:15" s="25" customFormat="1" ht="33.75" x14ac:dyDescent="0.2">
      <c r="A767" s="581" t="s">
        <v>277</v>
      </c>
      <c r="B767" s="582">
        <v>73663</v>
      </c>
      <c r="C767" s="583" t="s">
        <v>784</v>
      </c>
      <c r="D767" s="584" t="s">
        <v>718</v>
      </c>
      <c r="E767" s="583" t="s">
        <v>281</v>
      </c>
      <c r="F767" s="585">
        <f>'MEMÓRIA DE CÁLCULO'!AI59</f>
        <v>2</v>
      </c>
      <c r="G767" s="586"/>
      <c r="H767" s="587">
        <v>65.22</v>
      </c>
      <c r="I767" s="588">
        <v>12.54</v>
      </c>
      <c r="J767" s="589">
        <f>H767+I767</f>
        <v>77.759999999999991</v>
      </c>
      <c r="K767" s="587">
        <f>H767*F767</f>
        <v>130.44</v>
      </c>
      <c r="L767" s="588">
        <f>I767*F767</f>
        <v>25.08</v>
      </c>
      <c r="M767" s="589">
        <f>K767+L767</f>
        <v>155.51999999999998</v>
      </c>
      <c r="N767" s="585">
        <f>M767*$N$7</f>
        <v>38.195712</v>
      </c>
      <c r="O767" s="585">
        <f>ROUND(M767+N767,2)</f>
        <v>193.72</v>
      </c>
    </row>
    <row r="768" spans="1:15" s="25" customFormat="1" ht="14.25" x14ac:dyDescent="0.2">
      <c r="A768" s="166"/>
      <c r="B768" s="160"/>
      <c r="C768" s="31"/>
      <c r="D768" s="146" t="s">
        <v>288</v>
      </c>
      <c r="E768" s="32"/>
      <c r="F768" s="147"/>
      <c r="G768" s="33"/>
      <c r="H768" s="129"/>
      <c r="I768" s="29"/>
      <c r="J768" s="130"/>
      <c r="K768" s="33"/>
      <c r="L768" s="33"/>
      <c r="M768" s="136"/>
      <c r="N768" s="115"/>
      <c r="O768" s="115"/>
    </row>
    <row r="769" spans="1:15" s="25" customFormat="1" ht="14.25" x14ac:dyDescent="0.2">
      <c r="A769" s="167"/>
      <c r="B769" s="149"/>
      <c r="C769" s="152"/>
      <c r="D769" s="154" t="s">
        <v>224</v>
      </c>
      <c r="E769" s="152"/>
      <c r="F769" s="113"/>
      <c r="G769" s="145"/>
      <c r="H769" s="127"/>
      <c r="I769" s="37"/>
      <c r="J769" s="128"/>
      <c r="K769" s="179"/>
      <c r="L769" s="37"/>
      <c r="M769" s="128"/>
      <c r="N769" s="113"/>
      <c r="O769" s="113"/>
    </row>
    <row r="770" spans="1:15" s="25" customFormat="1" ht="14.25" x14ac:dyDescent="0.2">
      <c r="A770" s="166"/>
      <c r="B770" s="160"/>
      <c r="C770" s="31"/>
      <c r="D770" s="146"/>
      <c r="E770" s="32"/>
      <c r="F770" s="147"/>
      <c r="G770" s="33"/>
      <c r="H770" s="129"/>
      <c r="I770" s="29"/>
      <c r="J770" s="130"/>
      <c r="K770" s="33"/>
      <c r="L770" s="33"/>
      <c r="M770" s="136"/>
      <c r="N770" s="115"/>
      <c r="O770" s="115"/>
    </row>
    <row r="771" spans="1:15" s="25" customFormat="1" ht="22.5" x14ac:dyDescent="0.2">
      <c r="A771" s="581" t="s">
        <v>225</v>
      </c>
      <c r="B771" s="582" t="s">
        <v>142</v>
      </c>
      <c r="C771" s="583" t="s">
        <v>785</v>
      </c>
      <c r="D771" s="584" t="s">
        <v>719</v>
      </c>
      <c r="E771" s="583" t="s">
        <v>227</v>
      </c>
      <c r="F771" s="585">
        <f>'MEMÓRIA DE CÁLCULO'!U59</f>
        <v>1</v>
      </c>
      <c r="G771" s="586"/>
      <c r="H771" s="588">
        <f>ROUND(SUM(H772:H782),2)</f>
        <v>507.88</v>
      </c>
      <c r="I771" s="588">
        <f>ROUND(SUM(I772:I782),2)</f>
        <v>70.92</v>
      </c>
      <c r="J771" s="589">
        <f>H771+I771</f>
        <v>578.79999999999995</v>
      </c>
      <c r="K771" s="587">
        <f>H771*F771</f>
        <v>507.88</v>
      </c>
      <c r="L771" s="588">
        <f>I771*F771</f>
        <v>70.92</v>
      </c>
      <c r="M771" s="589">
        <f>K771+L771</f>
        <v>578.79999999999995</v>
      </c>
      <c r="N771" s="585">
        <f>M771*$N$7</f>
        <v>142.15328</v>
      </c>
      <c r="O771" s="585">
        <f>ROUND(M771+N771,2)</f>
        <v>720.95</v>
      </c>
    </row>
    <row r="772" spans="1:15" s="25" customFormat="1" ht="14.25" x14ac:dyDescent="0.2">
      <c r="A772" s="168"/>
      <c r="B772" s="159"/>
      <c r="C772" s="34"/>
      <c r="D772" s="153" t="s">
        <v>228</v>
      </c>
      <c r="E772" s="34" t="s">
        <v>229</v>
      </c>
      <c r="F772" s="148">
        <v>3.3</v>
      </c>
      <c r="G772" s="35">
        <v>8.92</v>
      </c>
      <c r="H772" s="131"/>
      <c r="I772" s="30">
        <f>F772*G772</f>
        <v>29.436</v>
      </c>
      <c r="J772" s="132"/>
      <c r="K772" s="35"/>
      <c r="L772" s="35"/>
      <c r="M772" s="134"/>
      <c r="N772" s="114"/>
      <c r="O772" s="114"/>
    </row>
    <row r="773" spans="1:15" s="25" customFormat="1" ht="14.25" x14ac:dyDescent="0.2">
      <c r="A773" s="168"/>
      <c r="B773" s="159"/>
      <c r="C773" s="34"/>
      <c r="D773" s="153" t="s">
        <v>230</v>
      </c>
      <c r="E773" s="34" t="s">
        <v>229</v>
      </c>
      <c r="F773" s="148">
        <v>3.3</v>
      </c>
      <c r="G773" s="35">
        <v>12.57</v>
      </c>
      <c r="H773" s="131"/>
      <c r="I773" s="30">
        <f>F773*G773</f>
        <v>41.481000000000002</v>
      </c>
      <c r="J773" s="132"/>
      <c r="K773" s="35"/>
      <c r="L773" s="35"/>
      <c r="M773" s="134"/>
      <c r="N773" s="114"/>
      <c r="O773" s="114"/>
    </row>
    <row r="774" spans="1:15" s="25" customFormat="1" ht="22.5" x14ac:dyDescent="0.2">
      <c r="A774" s="168"/>
      <c r="B774" s="159"/>
      <c r="C774" s="34"/>
      <c r="D774" s="153" t="s">
        <v>231</v>
      </c>
      <c r="E774" s="34" t="s">
        <v>227</v>
      </c>
      <c r="F774" s="148">
        <v>1</v>
      </c>
      <c r="G774" s="35">
        <v>4.58</v>
      </c>
      <c r="H774" s="131">
        <f t="shared" ref="H774:H782" si="4">F774*G774</f>
        <v>4.58</v>
      </c>
      <c r="I774" s="30"/>
      <c r="J774" s="132"/>
      <c r="K774" s="35"/>
      <c r="L774" s="35"/>
      <c r="M774" s="134"/>
      <c r="N774" s="114"/>
      <c r="O774" s="114"/>
    </row>
    <row r="775" spans="1:15" s="25" customFormat="1" ht="14.25" x14ac:dyDescent="0.2">
      <c r="A775" s="168"/>
      <c r="B775" s="159"/>
      <c r="C775" s="85" t="s">
        <v>203</v>
      </c>
      <c r="D775" s="153" t="s">
        <v>147</v>
      </c>
      <c r="E775" s="34" t="s">
        <v>227</v>
      </c>
      <c r="F775" s="148">
        <v>1</v>
      </c>
      <c r="G775" s="35">
        <v>102.02</v>
      </c>
      <c r="H775" s="131">
        <f t="shared" si="4"/>
        <v>102.02</v>
      </c>
      <c r="I775" s="30"/>
      <c r="J775" s="132"/>
      <c r="K775" s="35"/>
      <c r="L775" s="35"/>
      <c r="M775" s="134"/>
      <c r="N775" s="114"/>
      <c r="O775" s="114"/>
    </row>
    <row r="776" spans="1:15" s="25" customFormat="1" ht="14.25" x14ac:dyDescent="0.2">
      <c r="A776" s="168"/>
      <c r="B776" s="159"/>
      <c r="C776" s="34"/>
      <c r="D776" s="153" t="s">
        <v>143</v>
      </c>
      <c r="E776" s="34" t="s">
        <v>227</v>
      </c>
      <c r="F776" s="148">
        <v>1</v>
      </c>
      <c r="G776" s="35">
        <v>5.88</v>
      </c>
      <c r="H776" s="131">
        <f t="shared" si="4"/>
        <v>5.88</v>
      </c>
      <c r="I776" s="30"/>
      <c r="J776" s="132"/>
      <c r="K776" s="35"/>
      <c r="L776" s="35"/>
      <c r="M776" s="134"/>
      <c r="N776" s="114"/>
      <c r="O776" s="114"/>
    </row>
    <row r="777" spans="1:15" s="25" customFormat="1" ht="22.5" x14ac:dyDescent="0.2">
      <c r="A777" s="168"/>
      <c r="B777" s="159"/>
      <c r="C777" s="34"/>
      <c r="D777" s="153" t="s">
        <v>144</v>
      </c>
      <c r="E777" s="34" t="s">
        <v>227</v>
      </c>
      <c r="F777" s="148">
        <v>1</v>
      </c>
      <c r="G777" s="35">
        <v>25.92</v>
      </c>
      <c r="H777" s="131">
        <f t="shared" si="4"/>
        <v>25.92</v>
      </c>
      <c r="I777" s="30"/>
      <c r="J777" s="132"/>
      <c r="K777" s="35"/>
      <c r="L777" s="35"/>
      <c r="M777" s="134"/>
      <c r="N777" s="114"/>
      <c r="O777" s="114"/>
    </row>
    <row r="778" spans="1:15" s="25" customFormat="1" ht="14.25" x14ac:dyDescent="0.2">
      <c r="A778" s="168"/>
      <c r="B778" s="159"/>
      <c r="C778" s="34"/>
      <c r="D778" s="153" t="s">
        <v>145</v>
      </c>
      <c r="E778" s="34" t="s">
        <v>227</v>
      </c>
      <c r="F778" s="148">
        <v>1</v>
      </c>
      <c r="G778" s="35">
        <v>1.92</v>
      </c>
      <c r="H778" s="131">
        <f t="shared" si="4"/>
        <v>1.92</v>
      </c>
      <c r="I778" s="30"/>
      <c r="J778" s="132"/>
      <c r="K778" s="35"/>
      <c r="L778" s="35"/>
      <c r="M778" s="134"/>
      <c r="N778" s="114"/>
      <c r="O778" s="114"/>
    </row>
    <row r="779" spans="1:15" s="25" customFormat="1" ht="14.25" x14ac:dyDescent="0.2">
      <c r="A779" s="168"/>
      <c r="B779" s="159"/>
      <c r="C779" s="85" t="s">
        <v>203</v>
      </c>
      <c r="D779" s="153" t="s">
        <v>146</v>
      </c>
      <c r="E779" s="34" t="s">
        <v>227</v>
      </c>
      <c r="F779" s="148">
        <v>1</v>
      </c>
      <c r="G779" s="35">
        <v>362</v>
      </c>
      <c r="H779" s="131">
        <f t="shared" si="4"/>
        <v>362</v>
      </c>
      <c r="I779" s="30"/>
      <c r="J779" s="132"/>
      <c r="K779" s="35"/>
      <c r="L779" s="35"/>
      <c r="M779" s="134"/>
      <c r="N779" s="114"/>
      <c r="O779" s="114"/>
    </row>
    <row r="780" spans="1:15" s="25" customFormat="1" ht="14.25" x14ac:dyDescent="0.2">
      <c r="A780" s="168"/>
      <c r="B780" s="159"/>
      <c r="C780" s="34"/>
      <c r="D780" s="153" t="s">
        <v>218</v>
      </c>
      <c r="E780" s="34" t="s">
        <v>237</v>
      </c>
      <c r="F780" s="148">
        <v>0.25</v>
      </c>
      <c r="G780" s="35">
        <v>2</v>
      </c>
      <c r="H780" s="131">
        <f t="shared" si="4"/>
        <v>0.5</v>
      </c>
      <c r="I780" s="30"/>
      <c r="J780" s="132"/>
      <c r="K780" s="35"/>
      <c r="L780" s="35"/>
      <c r="M780" s="134"/>
      <c r="N780" s="114"/>
      <c r="O780" s="114"/>
    </row>
    <row r="781" spans="1:15" s="25" customFormat="1" ht="14.25" x14ac:dyDescent="0.2">
      <c r="A781" s="168"/>
      <c r="B781" s="159"/>
      <c r="C781" s="34"/>
      <c r="D781" s="153" t="s">
        <v>232</v>
      </c>
      <c r="E781" s="34" t="s">
        <v>227</v>
      </c>
      <c r="F781" s="148">
        <v>2</v>
      </c>
      <c r="G781" s="35">
        <v>2.2000000000000002</v>
      </c>
      <c r="H781" s="131">
        <f t="shared" si="4"/>
        <v>4.4000000000000004</v>
      </c>
      <c r="I781" s="30"/>
      <c r="J781" s="132"/>
      <c r="K781" s="35"/>
      <c r="L781" s="35"/>
      <c r="M781" s="134"/>
      <c r="N781" s="114"/>
      <c r="O781" s="114"/>
    </row>
    <row r="782" spans="1:15" s="25" customFormat="1" ht="33.75" x14ac:dyDescent="0.2">
      <c r="A782" s="168"/>
      <c r="B782" s="159"/>
      <c r="C782" s="34"/>
      <c r="D782" s="153" t="s">
        <v>235</v>
      </c>
      <c r="E782" s="34" t="s">
        <v>227</v>
      </c>
      <c r="F782" s="148">
        <v>2</v>
      </c>
      <c r="G782" s="35">
        <v>0.33</v>
      </c>
      <c r="H782" s="131">
        <f t="shared" si="4"/>
        <v>0.66</v>
      </c>
      <c r="I782" s="30"/>
      <c r="J782" s="132"/>
      <c r="K782" s="35"/>
      <c r="L782" s="35"/>
      <c r="M782" s="134"/>
      <c r="N782" s="114"/>
      <c r="O782" s="114"/>
    </row>
    <row r="783" spans="1:15" s="25" customFormat="1" ht="14.25" x14ac:dyDescent="0.2">
      <c r="A783" s="168"/>
      <c r="B783" s="159"/>
      <c r="C783" s="34"/>
      <c r="D783" s="153"/>
      <c r="E783" s="34"/>
      <c r="F783" s="148"/>
      <c r="G783" s="35"/>
      <c r="H783" s="131"/>
      <c r="I783" s="30"/>
      <c r="J783" s="132"/>
      <c r="K783" s="35"/>
      <c r="L783" s="35"/>
      <c r="M783" s="134"/>
      <c r="N783" s="114"/>
      <c r="O783" s="114"/>
    </row>
    <row r="784" spans="1:15" s="25" customFormat="1" ht="22.5" x14ac:dyDescent="0.2">
      <c r="A784" s="581" t="s">
        <v>225</v>
      </c>
      <c r="B784" s="582" t="s">
        <v>226</v>
      </c>
      <c r="C784" s="583" t="s">
        <v>786</v>
      </c>
      <c r="D784" s="584" t="s">
        <v>720</v>
      </c>
      <c r="E784" s="583" t="s">
        <v>227</v>
      </c>
      <c r="F784" s="585">
        <f>'MEMÓRIA DE CÁLCULO'!S59</f>
        <v>7</v>
      </c>
      <c r="G784" s="586"/>
      <c r="H784" s="588">
        <f>ROUND(SUM(H785:H795),2)</f>
        <v>355.03</v>
      </c>
      <c r="I784" s="588">
        <f>ROUND(SUM(I785:I795),2)</f>
        <v>64.47</v>
      </c>
      <c r="J784" s="589">
        <f>H784+I784</f>
        <v>419.5</v>
      </c>
      <c r="K784" s="587">
        <f>H784*F784</f>
        <v>2485.21</v>
      </c>
      <c r="L784" s="588">
        <f>I784*F784</f>
        <v>451.28999999999996</v>
      </c>
      <c r="M784" s="589">
        <f>K784+L784</f>
        <v>2936.5</v>
      </c>
      <c r="N784" s="585">
        <f>M784*$N$7</f>
        <v>721.20440000000008</v>
      </c>
      <c r="O784" s="585">
        <f>ROUND(M784+N784,2)</f>
        <v>3657.7</v>
      </c>
    </row>
    <row r="785" spans="1:15" s="25" customFormat="1" ht="14.25" x14ac:dyDescent="0.2">
      <c r="A785" s="168"/>
      <c r="B785" s="159"/>
      <c r="C785" s="34"/>
      <c r="D785" s="153" t="s">
        <v>228</v>
      </c>
      <c r="E785" s="34" t="s">
        <v>229</v>
      </c>
      <c r="F785" s="148">
        <v>3</v>
      </c>
      <c r="G785" s="35">
        <v>8.92</v>
      </c>
      <c r="H785" s="131"/>
      <c r="I785" s="30">
        <f>F785*G785</f>
        <v>26.759999999999998</v>
      </c>
      <c r="J785" s="132"/>
      <c r="K785" s="35"/>
      <c r="L785" s="35"/>
      <c r="M785" s="134"/>
      <c r="N785" s="114"/>
      <c r="O785" s="114"/>
    </row>
    <row r="786" spans="1:15" s="25" customFormat="1" ht="14.25" x14ac:dyDescent="0.2">
      <c r="A786" s="168"/>
      <c r="B786" s="159"/>
      <c r="C786" s="34"/>
      <c r="D786" s="153" t="s">
        <v>230</v>
      </c>
      <c r="E786" s="34" t="s">
        <v>229</v>
      </c>
      <c r="F786" s="148">
        <v>3</v>
      </c>
      <c r="G786" s="35">
        <v>12.57</v>
      </c>
      <c r="H786" s="131"/>
      <c r="I786" s="30">
        <f>F786*G786</f>
        <v>37.71</v>
      </c>
      <c r="J786" s="132"/>
      <c r="K786" s="35"/>
      <c r="L786" s="35"/>
      <c r="M786" s="134"/>
      <c r="N786" s="114"/>
      <c r="O786" s="114"/>
    </row>
    <row r="787" spans="1:15" s="25" customFormat="1" ht="14.25" x14ac:dyDescent="0.2">
      <c r="A787" s="168"/>
      <c r="B787" s="159"/>
      <c r="C787" s="85" t="s">
        <v>203</v>
      </c>
      <c r="D787" s="153" t="s">
        <v>148</v>
      </c>
      <c r="E787" s="34" t="s">
        <v>227</v>
      </c>
      <c r="F787" s="148">
        <v>1</v>
      </c>
      <c r="G787" s="35">
        <v>149.9</v>
      </c>
      <c r="H787" s="131">
        <f>F787*G787</f>
        <v>149.9</v>
      </c>
      <c r="I787" s="30"/>
      <c r="J787" s="132"/>
      <c r="K787" s="35"/>
      <c r="L787" s="35"/>
      <c r="M787" s="134"/>
      <c r="N787" s="114"/>
      <c r="O787" s="114"/>
    </row>
    <row r="788" spans="1:15" s="25" customFormat="1" ht="22.5" x14ac:dyDescent="0.2">
      <c r="A788" s="168"/>
      <c r="B788" s="159"/>
      <c r="C788" s="34"/>
      <c r="D788" s="153" t="s">
        <v>231</v>
      </c>
      <c r="E788" s="34" t="s">
        <v>227</v>
      </c>
      <c r="F788" s="148">
        <v>1</v>
      </c>
      <c r="G788" s="35">
        <v>4.32</v>
      </c>
      <c r="H788" s="131">
        <f t="shared" ref="H788:H795" si="5">F788*G788</f>
        <v>4.32</v>
      </c>
      <c r="I788" s="30"/>
      <c r="J788" s="132"/>
      <c r="K788" s="35"/>
      <c r="L788" s="35"/>
      <c r="M788" s="134"/>
      <c r="N788" s="114"/>
      <c r="O788" s="114"/>
    </row>
    <row r="789" spans="1:15" s="25" customFormat="1" ht="14.25" x14ac:dyDescent="0.2">
      <c r="A789" s="168"/>
      <c r="B789" s="159"/>
      <c r="C789" s="34"/>
      <c r="D789" s="153" t="s">
        <v>232</v>
      </c>
      <c r="E789" s="34" t="s">
        <v>227</v>
      </c>
      <c r="F789" s="148">
        <v>2</v>
      </c>
      <c r="G789" s="35">
        <v>2.2000000000000002</v>
      </c>
      <c r="H789" s="131">
        <f t="shared" si="5"/>
        <v>4.4000000000000004</v>
      </c>
      <c r="I789" s="30"/>
      <c r="J789" s="132"/>
      <c r="K789" s="35"/>
      <c r="L789" s="35"/>
      <c r="M789" s="134"/>
      <c r="N789" s="114"/>
      <c r="O789" s="114"/>
    </row>
    <row r="790" spans="1:15" s="25" customFormat="1" ht="14.25" x14ac:dyDescent="0.2">
      <c r="A790" s="168"/>
      <c r="B790" s="159"/>
      <c r="C790" s="85" t="s">
        <v>203</v>
      </c>
      <c r="D790" s="153" t="s">
        <v>233</v>
      </c>
      <c r="E790" s="34" t="s">
        <v>227</v>
      </c>
      <c r="F790" s="148">
        <v>1</v>
      </c>
      <c r="G790" s="35">
        <v>73.400000000000006</v>
      </c>
      <c r="H790" s="131">
        <f t="shared" si="5"/>
        <v>73.400000000000006</v>
      </c>
      <c r="I790" s="30"/>
      <c r="J790" s="132"/>
      <c r="K790" s="35"/>
      <c r="L790" s="35"/>
      <c r="M790" s="134"/>
      <c r="N790" s="114"/>
      <c r="O790" s="114"/>
    </row>
    <row r="791" spans="1:15" s="25" customFormat="1" ht="22.5" x14ac:dyDescent="0.2">
      <c r="A791" s="168"/>
      <c r="B791" s="159"/>
      <c r="C791" s="34"/>
      <c r="D791" s="153" t="s">
        <v>234</v>
      </c>
      <c r="E791" s="34" t="s">
        <v>227</v>
      </c>
      <c r="F791" s="148">
        <v>1</v>
      </c>
      <c r="G791" s="35">
        <v>2.4</v>
      </c>
      <c r="H791" s="131">
        <f t="shared" si="5"/>
        <v>2.4</v>
      </c>
      <c r="I791" s="30"/>
      <c r="J791" s="132"/>
      <c r="K791" s="35"/>
      <c r="L791" s="35"/>
      <c r="M791" s="134"/>
      <c r="N791" s="114"/>
      <c r="O791" s="114"/>
    </row>
    <row r="792" spans="1:15" s="25" customFormat="1" ht="33.75" x14ac:dyDescent="0.2">
      <c r="A792" s="168"/>
      <c r="B792" s="159"/>
      <c r="C792" s="34"/>
      <c r="D792" s="153" t="s">
        <v>235</v>
      </c>
      <c r="E792" s="34" t="s">
        <v>227</v>
      </c>
      <c r="F792" s="148">
        <v>2</v>
      </c>
      <c r="G792" s="35">
        <v>0.17</v>
      </c>
      <c r="H792" s="131">
        <f t="shared" si="5"/>
        <v>0.34</v>
      </c>
      <c r="I792" s="30"/>
      <c r="J792" s="132"/>
      <c r="K792" s="35"/>
      <c r="L792" s="35"/>
      <c r="M792" s="134"/>
      <c r="N792" s="114"/>
      <c r="O792" s="114"/>
    </row>
    <row r="793" spans="1:15" s="25" customFormat="1" ht="14.25" x14ac:dyDescent="0.2">
      <c r="A793" s="168"/>
      <c r="B793" s="159"/>
      <c r="C793" s="85" t="s">
        <v>203</v>
      </c>
      <c r="D793" s="153" t="s">
        <v>236</v>
      </c>
      <c r="E793" s="34" t="s">
        <v>227</v>
      </c>
      <c r="F793" s="148">
        <v>1</v>
      </c>
      <c r="G793" s="35">
        <v>120</v>
      </c>
      <c r="H793" s="131">
        <f t="shared" si="5"/>
        <v>120</v>
      </c>
      <c r="I793" s="30"/>
      <c r="J793" s="132"/>
      <c r="K793" s="35"/>
      <c r="L793" s="35"/>
      <c r="M793" s="134"/>
      <c r="N793" s="114"/>
      <c r="O793" s="114"/>
    </row>
    <row r="794" spans="1:15" s="25" customFormat="1" ht="14.25" x14ac:dyDescent="0.2">
      <c r="A794" s="168"/>
      <c r="B794" s="159"/>
      <c r="C794" s="34"/>
      <c r="D794" s="153" t="s">
        <v>218</v>
      </c>
      <c r="E794" s="34" t="s">
        <v>237</v>
      </c>
      <c r="F794" s="148">
        <v>0.1</v>
      </c>
      <c r="G794" s="35">
        <v>2</v>
      </c>
      <c r="H794" s="131">
        <f t="shared" si="5"/>
        <v>0.2</v>
      </c>
      <c r="I794" s="30"/>
      <c r="J794" s="132"/>
      <c r="K794" s="35"/>
      <c r="L794" s="35"/>
      <c r="M794" s="134"/>
      <c r="N794" s="114"/>
      <c r="O794" s="114"/>
    </row>
    <row r="795" spans="1:15" s="25" customFormat="1" ht="22.5" x14ac:dyDescent="0.2">
      <c r="A795" s="168"/>
      <c r="B795" s="159"/>
      <c r="C795" s="34"/>
      <c r="D795" s="153" t="s">
        <v>217</v>
      </c>
      <c r="E795" s="34" t="s">
        <v>227</v>
      </c>
      <c r="F795" s="148">
        <v>0.56000000000000005</v>
      </c>
      <c r="G795" s="35">
        <v>0.13</v>
      </c>
      <c r="H795" s="131">
        <f t="shared" si="5"/>
        <v>7.2800000000000004E-2</v>
      </c>
      <c r="I795" s="30"/>
      <c r="J795" s="132"/>
      <c r="K795" s="35"/>
      <c r="L795" s="35"/>
      <c r="M795" s="134"/>
      <c r="N795" s="114"/>
      <c r="O795" s="114"/>
    </row>
    <row r="796" spans="1:15" s="25" customFormat="1" ht="14.25" x14ac:dyDescent="0.2">
      <c r="A796" s="168"/>
      <c r="B796" s="159"/>
      <c r="C796" s="34"/>
      <c r="D796" s="153"/>
      <c r="E796" s="34"/>
      <c r="F796" s="148"/>
      <c r="G796" s="35"/>
      <c r="H796" s="131"/>
      <c r="I796" s="30"/>
      <c r="J796" s="132"/>
      <c r="K796" s="35"/>
      <c r="L796" s="35"/>
      <c r="M796" s="134"/>
      <c r="N796" s="114"/>
      <c r="O796" s="114"/>
    </row>
    <row r="797" spans="1:15" s="25" customFormat="1" ht="33.75" x14ac:dyDescent="0.2">
      <c r="A797" s="581" t="s">
        <v>225</v>
      </c>
      <c r="B797" s="582" t="s">
        <v>238</v>
      </c>
      <c r="C797" s="583" t="s">
        <v>787</v>
      </c>
      <c r="D797" s="584" t="s">
        <v>721</v>
      </c>
      <c r="E797" s="583" t="s">
        <v>227</v>
      </c>
      <c r="F797" s="585">
        <f>'MEMÓRIA DE CÁLCULO'!Y59</f>
        <v>9</v>
      </c>
      <c r="G797" s="586"/>
      <c r="H797" s="588">
        <f>ROUND(SUM(H798:H808),2)</f>
        <v>263.60000000000002</v>
      </c>
      <c r="I797" s="588">
        <f>ROUND(SUM(I798:I808),2)</f>
        <v>70.92</v>
      </c>
      <c r="J797" s="589">
        <f>H797+I797</f>
        <v>334.52000000000004</v>
      </c>
      <c r="K797" s="587">
        <f>H797*F797</f>
        <v>2372.4</v>
      </c>
      <c r="L797" s="588">
        <f>I797*F797</f>
        <v>638.28</v>
      </c>
      <c r="M797" s="589">
        <f>K797+L797</f>
        <v>3010.6800000000003</v>
      </c>
      <c r="N797" s="585">
        <f>M797*$N$7</f>
        <v>739.4230080000001</v>
      </c>
      <c r="O797" s="585">
        <f>ROUND(M797+N797,2)</f>
        <v>3750.1</v>
      </c>
    </row>
    <row r="798" spans="1:15" s="25" customFormat="1" ht="14.25" x14ac:dyDescent="0.2">
      <c r="A798" s="168"/>
      <c r="B798" s="159"/>
      <c r="C798" s="34"/>
      <c r="D798" s="153" t="s">
        <v>228</v>
      </c>
      <c r="E798" s="34" t="s">
        <v>229</v>
      </c>
      <c r="F798" s="148">
        <v>3.3</v>
      </c>
      <c r="G798" s="35">
        <v>8.92</v>
      </c>
      <c r="H798" s="131"/>
      <c r="I798" s="30">
        <f>F798*G798</f>
        <v>29.436</v>
      </c>
      <c r="J798" s="132"/>
      <c r="K798" s="35"/>
      <c r="L798" s="35"/>
      <c r="M798" s="134"/>
      <c r="N798" s="114"/>
      <c r="O798" s="114"/>
    </row>
    <row r="799" spans="1:15" s="25" customFormat="1" ht="14.25" x14ac:dyDescent="0.2">
      <c r="A799" s="168"/>
      <c r="B799" s="159"/>
      <c r="C799" s="34"/>
      <c r="D799" s="153" t="s">
        <v>230</v>
      </c>
      <c r="E799" s="34" t="s">
        <v>229</v>
      </c>
      <c r="F799" s="148">
        <v>3.3</v>
      </c>
      <c r="G799" s="35">
        <v>12.57</v>
      </c>
      <c r="H799" s="131"/>
      <c r="I799" s="30">
        <f>F799*G799</f>
        <v>41.481000000000002</v>
      </c>
      <c r="J799" s="132"/>
      <c r="K799" s="35"/>
      <c r="L799" s="35"/>
      <c r="M799" s="134"/>
      <c r="N799" s="114"/>
      <c r="O799" s="114"/>
    </row>
    <row r="800" spans="1:15" s="25" customFormat="1" ht="22.5" x14ac:dyDescent="0.2">
      <c r="A800" s="168"/>
      <c r="B800" s="159"/>
      <c r="C800" s="34"/>
      <c r="D800" s="153" t="s">
        <v>239</v>
      </c>
      <c r="E800" s="34" t="s">
        <v>227</v>
      </c>
      <c r="F800" s="148">
        <v>1</v>
      </c>
      <c r="G800" s="35">
        <v>19.53</v>
      </c>
      <c r="H800" s="131">
        <f>F800*G800</f>
        <v>19.53</v>
      </c>
      <c r="I800" s="30"/>
      <c r="J800" s="132"/>
      <c r="K800" s="35"/>
      <c r="L800" s="35"/>
      <c r="M800" s="134"/>
      <c r="N800" s="114"/>
      <c r="O800" s="114"/>
    </row>
    <row r="801" spans="1:15" s="25" customFormat="1" ht="14.25" x14ac:dyDescent="0.2">
      <c r="A801" s="168"/>
      <c r="B801" s="159"/>
      <c r="C801" s="85" t="s">
        <v>203</v>
      </c>
      <c r="D801" s="153" t="s">
        <v>149</v>
      </c>
      <c r="E801" s="34" t="s">
        <v>227</v>
      </c>
      <c r="F801" s="148">
        <v>1</v>
      </c>
      <c r="G801" s="35">
        <v>65.900000000000006</v>
      </c>
      <c r="H801" s="131">
        <f t="shared" ref="H801:H808" si="6">F801*G801</f>
        <v>65.900000000000006</v>
      </c>
      <c r="I801" s="30"/>
      <c r="J801" s="132"/>
      <c r="K801" s="35"/>
      <c r="L801" s="35"/>
      <c r="M801" s="134"/>
      <c r="N801" s="114"/>
      <c r="O801" s="114"/>
    </row>
    <row r="802" spans="1:15" s="25" customFormat="1" ht="22.5" x14ac:dyDescent="0.2">
      <c r="A802" s="168"/>
      <c r="B802" s="159"/>
      <c r="C802" s="34"/>
      <c r="D802" s="153" t="s">
        <v>240</v>
      </c>
      <c r="E802" s="34" t="s">
        <v>227</v>
      </c>
      <c r="F802" s="148">
        <v>1</v>
      </c>
      <c r="G802" s="35">
        <v>67.290000000000006</v>
      </c>
      <c r="H802" s="131">
        <f t="shared" si="6"/>
        <v>67.290000000000006</v>
      </c>
      <c r="I802" s="30"/>
      <c r="J802" s="132"/>
      <c r="K802" s="35"/>
      <c r="L802" s="35"/>
      <c r="M802" s="134"/>
      <c r="N802" s="114"/>
      <c r="O802" s="114"/>
    </row>
    <row r="803" spans="1:15" s="25" customFormat="1" ht="14.25" x14ac:dyDescent="0.2">
      <c r="A803" s="168"/>
      <c r="B803" s="159"/>
      <c r="C803" s="85" t="s">
        <v>203</v>
      </c>
      <c r="D803" s="153" t="s">
        <v>241</v>
      </c>
      <c r="E803" s="34" t="s">
        <v>227</v>
      </c>
      <c r="F803" s="148">
        <v>1</v>
      </c>
      <c r="G803" s="35">
        <v>87.9</v>
      </c>
      <c r="H803" s="131">
        <f t="shared" si="6"/>
        <v>87.9</v>
      </c>
      <c r="I803" s="30"/>
      <c r="J803" s="132"/>
      <c r="K803" s="35"/>
      <c r="L803" s="35"/>
      <c r="M803" s="134"/>
      <c r="N803" s="114"/>
      <c r="O803" s="114"/>
    </row>
    <row r="804" spans="1:15" s="25" customFormat="1" ht="22.5" x14ac:dyDescent="0.2">
      <c r="A804" s="168"/>
      <c r="B804" s="159"/>
      <c r="C804" s="34"/>
      <c r="D804" s="153" t="s">
        <v>242</v>
      </c>
      <c r="E804" s="34" t="s">
        <v>227</v>
      </c>
      <c r="F804" s="148">
        <v>1</v>
      </c>
      <c r="G804" s="35">
        <v>15.69</v>
      </c>
      <c r="H804" s="131">
        <f t="shared" si="6"/>
        <v>15.69</v>
      </c>
      <c r="I804" s="30"/>
      <c r="J804" s="132"/>
      <c r="K804" s="35"/>
      <c r="L804" s="35"/>
      <c r="M804" s="134"/>
      <c r="N804" s="114"/>
      <c r="O804" s="114"/>
    </row>
    <row r="805" spans="1:15" s="25" customFormat="1" ht="14.25" x14ac:dyDescent="0.2">
      <c r="A805" s="168"/>
      <c r="B805" s="159"/>
      <c r="C805" s="34"/>
      <c r="D805" s="153" t="s">
        <v>232</v>
      </c>
      <c r="E805" s="34" t="s">
        <v>227</v>
      </c>
      <c r="F805" s="148">
        <v>2</v>
      </c>
      <c r="G805" s="35">
        <v>2.2000000000000002</v>
      </c>
      <c r="H805" s="131">
        <f t="shared" si="6"/>
        <v>4.4000000000000004</v>
      </c>
      <c r="I805" s="30"/>
      <c r="J805" s="132"/>
      <c r="K805" s="35"/>
      <c r="L805" s="35"/>
      <c r="M805" s="134"/>
      <c r="N805" s="114"/>
      <c r="O805" s="114"/>
    </row>
    <row r="806" spans="1:15" s="25" customFormat="1" ht="22.5" x14ac:dyDescent="0.2">
      <c r="A806" s="168"/>
      <c r="B806" s="159"/>
      <c r="C806" s="34"/>
      <c r="D806" s="153" t="s">
        <v>234</v>
      </c>
      <c r="E806" s="34" t="s">
        <v>227</v>
      </c>
      <c r="F806" s="148">
        <v>1</v>
      </c>
      <c r="G806" s="35">
        <v>2.4</v>
      </c>
      <c r="H806" s="131">
        <f t="shared" si="6"/>
        <v>2.4</v>
      </c>
      <c r="I806" s="30"/>
      <c r="J806" s="132"/>
      <c r="K806" s="35"/>
      <c r="L806" s="35"/>
      <c r="M806" s="134"/>
      <c r="N806" s="114"/>
      <c r="O806" s="114"/>
    </row>
    <row r="807" spans="1:15" s="25" customFormat="1" ht="33.75" x14ac:dyDescent="0.2">
      <c r="A807" s="168"/>
      <c r="B807" s="159"/>
      <c r="C807" s="34"/>
      <c r="D807" s="153" t="s">
        <v>235</v>
      </c>
      <c r="E807" s="34" t="s">
        <v>227</v>
      </c>
      <c r="F807" s="148">
        <v>2</v>
      </c>
      <c r="G807" s="35">
        <v>0.17</v>
      </c>
      <c r="H807" s="131">
        <f t="shared" si="6"/>
        <v>0.34</v>
      </c>
      <c r="I807" s="30"/>
      <c r="J807" s="132"/>
      <c r="K807" s="35"/>
      <c r="L807" s="35"/>
      <c r="M807" s="134"/>
      <c r="N807" s="114"/>
      <c r="O807" s="114"/>
    </row>
    <row r="808" spans="1:15" s="25" customFormat="1" ht="22.5" x14ac:dyDescent="0.2">
      <c r="A808" s="168"/>
      <c r="B808" s="159"/>
      <c r="C808" s="34"/>
      <c r="D808" s="153" t="s">
        <v>217</v>
      </c>
      <c r="E808" s="34" t="s">
        <v>227</v>
      </c>
      <c r="F808" s="148">
        <v>1.1200000000000001</v>
      </c>
      <c r="G808" s="35">
        <v>0.13</v>
      </c>
      <c r="H808" s="131">
        <f t="shared" si="6"/>
        <v>0.14560000000000001</v>
      </c>
      <c r="I808" s="30"/>
      <c r="J808" s="132"/>
      <c r="K808" s="35"/>
      <c r="L808" s="35"/>
      <c r="M808" s="134"/>
      <c r="N808" s="114"/>
      <c r="O808" s="114"/>
    </row>
    <row r="809" spans="1:15" s="25" customFormat="1" ht="14.25" x14ac:dyDescent="0.2">
      <c r="A809" s="168"/>
      <c r="B809" s="159"/>
      <c r="C809" s="34"/>
      <c r="D809" s="153"/>
      <c r="E809" s="34"/>
      <c r="F809" s="148"/>
      <c r="G809" s="35"/>
      <c r="H809" s="131"/>
      <c r="I809" s="30"/>
      <c r="J809" s="132"/>
      <c r="K809" s="35"/>
      <c r="L809" s="35"/>
      <c r="M809" s="134"/>
      <c r="N809" s="114"/>
      <c r="O809" s="114"/>
    </row>
    <row r="810" spans="1:15" s="25" customFormat="1" ht="33.75" x14ac:dyDescent="0.2">
      <c r="A810" s="581" t="s">
        <v>225</v>
      </c>
      <c r="B810" s="582" t="s">
        <v>244</v>
      </c>
      <c r="C810" s="583" t="s">
        <v>788</v>
      </c>
      <c r="D810" s="584" t="s">
        <v>722</v>
      </c>
      <c r="E810" s="583" t="s">
        <v>227</v>
      </c>
      <c r="F810" s="585">
        <f>'MEMÓRIA DE CÁLCULO'!V59</f>
        <v>1</v>
      </c>
      <c r="G810" s="586"/>
      <c r="H810" s="588">
        <f>ROUND(SUM(H811:H819),2)</f>
        <v>312.02999999999997</v>
      </c>
      <c r="I810" s="588">
        <f>ROUND(SUM(I811:I819),2)</f>
        <v>59.1</v>
      </c>
      <c r="J810" s="589">
        <f>H810+I810</f>
        <v>371.13</v>
      </c>
      <c r="K810" s="587">
        <f>H810*F810</f>
        <v>312.02999999999997</v>
      </c>
      <c r="L810" s="588">
        <f>I810*F810</f>
        <v>59.1</v>
      </c>
      <c r="M810" s="589">
        <f>K810+L810</f>
        <v>371.13</v>
      </c>
      <c r="N810" s="585">
        <f>M810*$N$7</f>
        <v>91.149528000000004</v>
      </c>
      <c r="O810" s="585">
        <f>ROUND(M810+N810,2)</f>
        <v>462.28</v>
      </c>
    </row>
    <row r="811" spans="1:15" s="25" customFormat="1" ht="14.25" x14ac:dyDescent="0.2">
      <c r="A811" s="168"/>
      <c r="B811" s="159"/>
      <c r="C811" s="34"/>
      <c r="D811" s="153" t="s">
        <v>228</v>
      </c>
      <c r="E811" s="34" t="s">
        <v>229</v>
      </c>
      <c r="F811" s="148">
        <v>2.75</v>
      </c>
      <c r="G811" s="35">
        <v>8.92</v>
      </c>
      <c r="H811" s="131"/>
      <c r="I811" s="30">
        <f>F811*G811</f>
        <v>24.53</v>
      </c>
      <c r="J811" s="132"/>
      <c r="K811" s="35"/>
      <c r="L811" s="35"/>
      <c r="M811" s="134"/>
      <c r="N811" s="114"/>
      <c r="O811" s="114"/>
    </row>
    <row r="812" spans="1:15" s="25" customFormat="1" ht="14.25" x14ac:dyDescent="0.2">
      <c r="A812" s="168"/>
      <c r="B812" s="159"/>
      <c r="C812" s="34"/>
      <c r="D812" s="153" t="s">
        <v>230</v>
      </c>
      <c r="E812" s="34" t="s">
        <v>229</v>
      </c>
      <c r="F812" s="148">
        <v>2.75</v>
      </c>
      <c r="G812" s="35">
        <v>12.57</v>
      </c>
      <c r="H812" s="131"/>
      <c r="I812" s="30">
        <f>F812*G812</f>
        <v>34.567500000000003</v>
      </c>
      <c r="J812" s="132"/>
      <c r="K812" s="35"/>
      <c r="L812" s="35"/>
      <c r="M812" s="134"/>
      <c r="N812" s="114"/>
      <c r="O812" s="114"/>
    </row>
    <row r="813" spans="1:15" s="25" customFormat="1" ht="14.25" x14ac:dyDescent="0.2">
      <c r="A813" s="168"/>
      <c r="B813" s="159"/>
      <c r="C813" s="85" t="s">
        <v>203</v>
      </c>
      <c r="D813" s="153" t="s">
        <v>245</v>
      </c>
      <c r="E813" s="34" t="s">
        <v>227</v>
      </c>
      <c r="F813" s="148">
        <v>1</v>
      </c>
      <c r="G813" s="35">
        <v>221.8</v>
      </c>
      <c r="H813" s="131">
        <f>F813*G813</f>
        <v>221.8</v>
      </c>
      <c r="I813" s="30"/>
      <c r="J813" s="132"/>
      <c r="K813" s="35"/>
      <c r="L813" s="35"/>
      <c r="M813" s="134"/>
      <c r="N813" s="114"/>
      <c r="O813" s="114"/>
    </row>
    <row r="814" spans="1:15" s="25" customFormat="1" ht="22.5" x14ac:dyDescent="0.2">
      <c r="A814" s="168"/>
      <c r="B814" s="159"/>
      <c r="C814" s="34"/>
      <c r="D814" s="153" t="s">
        <v>240</v>
      </c>
      <c r="E814" s="34" t="s">
        <v>227</v>
      </c>
      <c r="F814" s="148">
        <v>1</v>
      </c>
      <c r="G814" s="35">
        <v>67.290000000000006</v>
      </c>
      <c r="H814" s="131">
        <f t="shared" ref="H814:H819" si="7">F814*G814</f>
        <v>67.290000000000006</v>
      </c>
      <c r="I814" s="30"/>
      <c r="J814" s="132"/>
      <c r="K814" s="35"/>
      <c r="L814" s="35"/>
      <c r="M814" s="134"/>
      <c r="N814" s="114"/>
      <c r="O814" s="114"/>
    </row>
    <row r="815" spans="1:15" s="25" customFormat="1" ht="22.5" x14ac:dyDescent="0.2">
      <c r="A815" s="168"/>
      <c r="B815" s="159"/>
      <c r="C815" s="34"/>
      <c r="D815" s="153" t="s">
        <v>242</v>
      </c>
      <c r="E815" s="34" t="s">
        <v>227</v>
      </c>
      <c r="F815" s="148">
        <v>1</v>
      </c>
      <c r="G815" s="35">
        <v>15.69</v>
      </c>
      <c r="H815" s="131">
        <f t="shared" si="7"/>
        <v>15.69</v>
      </c>
      <c r="I815" s="30"/>
      <c r="J815" s="132"/>
      <c r="K815" s="35"/>
      <c r="L815" s="35"/>
      <c r="M815" s="134"/>
      <c r="N815" s="114"/>
      <c r="O815" s="114"/>
    </row>
    <row r="816" spans="1:15" s="25" customFormat="1" ht="14.25" x14ac:dyDescent="0.2">
      <c r="A816" s="168"/>
      <c r="B816" s="159"/>
      <c r="C816" s="34"/>
      <c r="D816" s="153" t="s">
        <v>232</v>
      </c>
      <c r="E816" s="34" t="s">
        <v>227</v>
      </c>
      <c r="F816" s="148">
        <v>2</v>
      </c>
      <c r="G816" s="35">
        <v>2.2000000000000002</v>
      </c>
      <c r="H816" s="131">
        <f t="shared" si="7"/>
        <v>4.4000000000000004</v>
      </c>
      <c r="I816" s="30"/>
      <c r="J816" s="132"/>
      <c r="K816" s="35"/>
      <c r="L816" s="35"/>
      <c r="M816" s="134"/>
      <c r="N816" s="114"/>
      <c r="O816" s="114"/>
    </row>
    <row r="817" spans="1:15" s="25" customFormat="1" ht="22.5" x14ac:dyDescent="0.2">
      <c r="A817" s="168"/>
      <c r="B817" s="159"/>
      <c r="C817" s="34"/>
      <c r="D817" s="153" t="s">
        <v>234</v>
      </c>
      <c r="E817" s="34" t="s">
        <v>227</v>
      </c>
      <c r="F817" s="148">
        <v>1</v>
      </c>
      <c r="G817" s="35">
        <v>2.4</v>
      </c>
      <c r="H817" s="131">
        <f t="shared" si="7"/>
        <v>2.4</v>
      </c>
      <c r="I817" s="30"/>
      <c r="J817" s="132"/>
      <c r="K817" s="35"/>
      <c r="L817" s="35"/>
      <c r="M817" s="134"/>
      <c r="N817" s="114"/>
      <c r="O817" s="114"/>
    </row>
    <row r="818" spans="1:15" s="25" customFormat="1" ht="33.75" x14ac:dyDescent="0.2">
      <c r="A818" s="168"/>
      <c r="B818" s="159"/>
      <c r="C818" s="34"/>
      <c r="D818" s="153" t="s">
        <v>235</v>
      </c>
      <c r="E818" s="34" t="s">
        <v>227</v>
      </c>
      <c r="F818" s="148">
        <v>2</v>
      </c>
      <c r="G818" s="35">
        <v>0.17</v>
      </c>
      <c r="H818" s="131">
        <f t="shared" si="7"/>
        <v>0.34</v>
      </c>
      <c r="I818" s="30"/>
      <c r="J818" s="132"/>
      <c r="K818" s="35"/>
      <c r="L818" s="35"/>
      <c r="M818" s="134"/>
      <c r="N818" s="114"/>
      <c r="O818" s="114"/>
    </row>
    <row r="819" spans="1:15" s="25" customFormat="1" ht="22.5" x14ac:dyDescent="0.2">
      <c r="A819" s="168"/>
      <c r="B819" s="159"/>
      <c r="C819" s="34"/>
      <c r="D819" s="153" t="s">
        <v>217</v>
      </c>
      <c r="E819" s="34" t="s">
        <v>227</v>
      </c>
      <c r="F819" s="148">
        <v>0.84</v>
      </c>
      <c r="G819" s="35">
        <v>0.13</v>
      </c>
      <c r="H819" s="131">
        <f t="shared" si="7"/>
        <v>0.10920000000000001</v>
      </c>
      <c r="I819" s="30"/>
      <c r="J819" s="132"/>
      <c r="K819" s="35"/>
      <c r="L819" s="35"/>
      <c r="M819" s="134"/>
      <c r="N819" s="114"/>
      <c r="O819" s="114"/>
    </row>
    <row r="820" spans="1:15" s="25" customFormat="1" ht="14.25" x14ac:dyDescent="0.2">
      <c r="A820" s="168"/>
      <c r="B820" s="159"/>
      <c r="C820" s="34"/>
      <c r="D820" s="153"/>
      <c r="E820" s="34"/>
      <c r="F820" s="148"/>
      <c r="G820" s="35"/>
      <c r="H820" s="131"/>
      <c r="I820" s="30"/>
      <c r="J820" s="132"/>
      <c r="K820" s="35"/>
      <c r="L820" s="35"/>
      <c r="M820" s="134"/>
      <c r="N820" s="114"/>
      <c r="O820" s="114"/>
    </row>
    <row r="821" spans="1:15" s="25" customFormat="1" ht="33.75" x14ac:dyDescent="0.2">
      <c r="A821" s="581" t="s">
        <v>225</v>
      </c>
      <c r="B821" s="582" t="s">
        <v>293</v>
      </c>
      <c r="C821" s="583" t="s">
        <v>789</v>
      </c>
      <c r="D821" s="584" t="s">
        <v>723</v>
      </c>
      <c r="E821" s="583" t="s">
        <v>315</v>
      </c>
      <c r="F821" s="585">
        <v>1</v>
      </c>
      <c r="G821" s="586"/>
      <c r="H821" s="588">
        <f>ROUND(SUM(H822:H829),2)</f>
        <v>465.07</v>
      </c>
      <c r="I821" s="588">
        <f>ROUND(SUM(I822:I829),2)</f>
        <v>64.47</v>
      </c>
      <c r="J821" s="589">
        <f>H821+I821</f>
        <v>529.54</v>
      </c>
      <c r="K821" s="587">
        <f>H821*F821</f>
        <v>465.07</v>
      </c>
      <c r="L821" s="588">
        <f>I821*F821</f>
        <v>64.47</v>
      </c>
      <c r="M821" s="589">
        <f>K821+L821</f>
        <v>529.54</v>
      </c>
      <c r="N821" s="585">
        <f>M821*$N$7</f>
        <v>130.055024</v>
      </c>
      <c r="O821" s="585">
        <f>ROUND(M821+N821,2)</f>
        <v>659.6</v>
      </c>
    </row>
    <row r="822" spans="1:15" s="25" customFormat="1" ht="14.25" x14ac:dyDescent="0.2">
      <c r="A822" s="168"/>
      <c r="B822" s="159"/>
      <c r="C822" s="34"/>
      <c r="D822" s="153" t="s">
        <v>300</v>
      </c>
      <c r="E822" s="34" t="s">
        <v>307</v>
      </c>
      <c r="F822" s="148">
        <v>3</v>
      </c>
      <c r="G822" s="35">
        <v>8.92</v>
      </c>
      <c r="H822" s="131"/>
      <c r="I822" s="30">
        <f>F822*G822</f>
        <v>26.759999999999998</v>
      </c>
      <c r="J822" s="132"/>
      <c r="K822" s="35"/>
      <c r="L822" s="35"/>
      <c r="M822" s="134"/>
      <c r="N822" s="114"/>
      <c r="O822" s="114"/>
    </row>
    <row r="823" spans="1:15" s="25" customFormat="1" ht="14.25" x14ac:dyDescent="0.2">
      <c r="A823" s="168"/>
      <c r="B823" s="159"/>
      <c r="C823" s="34"/>
      <c r="D823" s="153" t="s">
        <v>299</v>
      </c>
      <c r="E823" s="34" t="s">
        <v>307</v>
      </c>
      <c r="F823" s="148">
        <v>3</v>
      </c>
      <c r="G823" s="35">
        <v>12.57</v>
      </c>
      <c r="H823" s="131"/>
      <c r="I823" s="30">
        <f>F823*G823</f>
        <v>37.71</v>
      </c>
      <c r="J823" s="132"/>
      <c r="K823" s="35"/>
      <c r="L823" s="35"/>
      <c r="M823" s="134"/>
      <c r="N823" s="114"/>
      <c r="O823" s="114"/>
    </row>
    <row r="824" spans="1:15" s="25" customFormat="1" ht="22.5" x14ac:dyDescent="0.2">
      <c r="A824" s="168"/>
      <c r="B824" s="159"/>
      <c r="C824" s="34"/>
      <c r="D824" s="153" t="s">
        <v>326</v>
      </c>
      <c r="E824" s="34" t="s">
        <v>314</v>
      </c>
      <c r="F824" s="148">
        <v>0.75</v>
      </c>
      <c r="G824" s="35">
        <v>0.14000000000000001</v>
      </c>
      <c r="H824" s="131">
        <f t="shared" ref="H824:H829" si="8">F824*G824</f>
        <v>0.10500000000000001</v>
      </c>
      <c r="I824" s="30"/>
      <c r="J824" s="132"/>
      <c r="K824" s="35"/>
      <c r="L824" s="35"/>
      <c r="M824" s="134"/>
      <c r="N824" s="114"/>
      <c r="O824" s="114"/>
    </row>
    <row r="825" spans="1:15" s="25" customFormat="1" ht="22.5" x14ac:dyDescent="0.2">
      <c r="A825" s="168"/>
      <c r="B825" s="159"/>
      <c r="C825" s="34"/>
      <c r="D825" s="153" t="s">
        <v>285</v>
      </c>
      <c r="E825" s="34" t="s">
        <v>315</v>
      </c>
      <c r="F825" s="148">
        <v>1</v>
      </c>
      <c r="G825" s="35">
        <v>39.35</v>
      </c>
      <c r="H825" s="131">
        <f t="shared" si="8"/>
        <v>39.35</v>
      </c>
      <c r="I825" s="30"/>
      <c r="J825" s="132"/>
      <c r="K825" s="35"/>
      <c r="L825" s="35"/>
      <c r="M825" s="134"/>
      <c r="N825" s="114"/>
      <c r="O825" s="114"/>
    </row>
    <row r="826" spans="1:15" s="25" customFormat="1" ht="14.25" x14ac:dyDescent="0.2">
      <c r="A826" s="168"/>
      <c r="B826" s="159"/>
      <c r="C826" s="85" t="s">
        <v>203</v>
      </c>
      <c r="D826" s="153" t="s">
        <v>150</v>
      </c>
      <c r="E826" s="34" t="s">
        <v>315</v>
      </c>
      <c r="F826" s="148">
        <v>1</v>
      </c>
      <c r="G826" s="35">
        <v>259</v>
      </c>
      <c r="H826" s="131">
        <f t="shared" si="8"/>
        <v>259</v>
      </c>
      <c r="I826" s="30"/>
      <c r="J826" s="132"/>
      <c r="K826" s="35"/>
      <c r="L826" s="35"/>
      <c r="M826" s="134"/>
      <c r="N826" s="114"/>
      <c r="O826" s="114"/>
    </row>
    <row r="827" spans="1:15" s="25" customFormat="1" ht="14.25" x14ac:dyDescent="0.2">
      <c r="A827" s="168"/>
      <c r="B827" s="159"/>
      <c r="C827" s="85" t="s">
        <v>203</v>
      </c>
      <c r="D827" s="153" t="s">
        <v>333</v>
      </c>
      <c r="E827" s="34" t="s">
        <v>315</v>
      </c>
      <c r="F827" s="148">
        <v>1</v>
      </c>
      <c r="G827" s="35">
        <v>62.9</v>
      </c>
      <c r="H827" s="131">
        <f t="shared" si="8"/>
        <v>62.9</v>
      </c>
      <c r="I827" s="30"/>
      <c r="J827" s="132"/>
      <c r="K827" s="35"/>
      <c r="L827" s="35"/>
      <c r="M827" s="134"/>
      <c r="N827" s="114"/>
      <c r="O827" s="114"/>
    </row>
    <row r="828" spans="1:15" s="25" customFormat="1" ht="14.25" x14ac:dyDescent="0.2">
      <c r="A828" s="168"/>
      <c r="B828" s="159"/>
      <c r="C828" s="34"/>
      <c r="D828" s="153" t="s">
        <v>283</v>
      </c>
      <c r="E828" s="34" t="s">
        <v>315</v>
      </c>
      <c r="F828" s="148">
        <v>1</v>
      </c>
      <c r="G828" s="35">
        <v>26.08</v>
      </c>
      <c r="H828" s="131">
        <f t="shared" si="8"/>
        <v>26.08</v>
      </c>
      <c r="I828" s="30"/>
      <c r="J828" s="132"/>
      <c r="K828" s="35"/>
      <c r="L828" s="35"/>
      <c r="M828" s="134"/>
      <c r="N828" s="114"/>
      <c r="O828" s="114"/>
    </row>
    <row r="829" spans="1:15" s="25" customFormat="1" ht="22.5" x14ac:dyDescent="0.2">
      <c r="A829" s="168"/>
      <c r="B829" s="159"/>
      <c r="C829" s="34"/>
      <c r="D829" s="153" t="s">
        <v>284</v>
      </c>
      <c r="E829" s="34" t="s">
        <v>315</v>
      </c>
      <c r="F829" s="148">
        <v>1</v>
      </c>
      <c r="G829" s="35">
        <v>77.63</v>
      </c>
      <c r="H829" s="131">
        <f t="shared" si="8"/>
        <v>77.63</v>
      </c>
      <c r="I829" s="30"/>
      <c r="J829" s="132"/>
      <c r="K829" s="35"/>
      <c r="L829" s="35"/>
      <c r="M829" s="134"/>
      <c r="N829" s="114"/>
      <c r="O829" s="114"/>
    </row>
    <row r="830" spans="1:15" s="13" customFormat="1" ht="12.75" x14ac:dyDescent="0.25">
      <c r="A830" s="168"/>
      <c r="B830" s="159"/>
      <c r="C830" s="34"/>
      <c r="D830" s="153" t="s">
        <v>288</v>
      </c>
      <c r="E830" s="34"/>
      <c r="F830" s="148"/>
      <c r="G830" s="35"/>
      <c r="H830" s="131"/>
      <c r="I830" s="30"/>
      <c r="J830" s="132"/>
      <c r="K830" s="35"/>
      <c r="L830" s="35"/>
      <c r="M830" s="134"/>
      <c r="N830" s="114"/>
      <c r="O830" s="114"/>
    </row>
    <row r="831" spans="1:15" s="25" customFormat="1" ht="45" x14ac:dyDescent="0.2">
      <c r="A831" s="581" t="s">
        <v>225</v>
      </c>
      <c r="B831" s="582" t="s">
        <v>896</v>
      </c>
      <c r="C831" s="583" t="s">
        <v>790</v>
      </c>
      <c r="D831" s="584" t="s">
        <v>897</v>
      </c>
      <c r="E831" s="583" t="s">
        <v>315</v>
      </c>
      <c r="F831" s="585">
        <v>1</v>
      </c>
      <c r="G831" s="586"/>
      <c r="H831" s="588">
        <f>ROUND(SUM(H832:H833),2)</f>
        <v>0</v>
      </c>
      <c r="I831" s="588">
        <f>ROUND(SUM(I832:I833),2)</f>
        <v>64.47</v>
      </c>
      <c r="J831" s="589">
        <f>H831+I831</f>
        <v>64.47</v>
      </c>
      <c r="K831" s="587">
        <f>H831*F831</f>
        <v>0</v>
      </c>
      <c r="L831" s="588">
        <f>I831*F831</f>
        <v>64.47</v>
      </c>
      <c r="M831" s="589">
        <f>K831+L831</f>
        <v>64.47</v>
      </c>
      <c r="N831" s="585">
        <f>M831*$N$7</f>
        <v>15.833832000000001</v>
      </c>
      <c r="O831" s="585">
        <f>ROUND(M831+N831,2)</f>
        <v>80.3</v>
      </c>
    </row>
    <row r="832" spans="1:15" s="25" customFormat="1" ht="14.25" x14ac:dyDescent="0.2">
      <c r="A832" s="168"/>
      <c r="B832" s="159"/>
      <c r="C832" s="34"/>
      <c r="D832" s="153" t="s">
        <v>300</v>
      </c>
      <c r="E832" s="34" t="s">
        <v>307</v>
      </c>
      <c r="F832" s="148">
        <v>3</v>
      </c>
      <c r="G832" s="35">
        <v>8.92</v>
      </c>
      <c r="H832" s="131"/>
      <c r="I832" s="30">
        <f>F832*G832</f>
        <v>26.759999999999998</v>
      </c>
      <c r="J832" s="132"/>
      <c r="K832" s="35"/>
      <c r="L832" s="35"/>
      <c r="M832" s="134"/>
      <c r="N832" s="114"/>
      <c r="O832" s="114"/>
    </row>
    <row r="833" spans="1:15" s="25" customFormat="1" ht="14.25" x14ac:dyDescent="0.2">
      <c r="A833" s="168"/>
      <c r="B833" s="159"/>
      <c r="C833" s="34"/>
      <c r="D833" s="153" t="s">
        <v>299</v>
      </c>
      <c r="E833" s="34" t="s">
        <v>307</v>
      </c>
      <c r="F833" s="148">
        <v>3</v>
      </c>
      <c r="G833" s="35">
        <v>12.57</v>
      </c>
      <c r="H833" s="131"/>
      <c r="I833" s="30">
        <f>F833*G833</f>
        <v>37.71</v>
      </c>
      <c r="J833" s="132"/>
      <c r="K833" s="35"/>
      <c r="L833" s="35"/>
      <c r="M833" s="134"/>
      <c r="N833" s="114"/>
      <c r="O833" s="114"/>
    </row>
    <row r="834" spans="1:15" s="25" customFormat="1" ht="14.25" x14ac:dyDescent="0.2">
      <c r="A834" s="14"/>
      <c r="B834" s="15"/>
      <c r="C834" s="16"/>
      <c r="D834" s="17"/>
      <c r="E834" s="23"/>
      <c r="F834" s="19"/>
      <c r="G834" s="23"/>
      <c r="H834" s="24"/>
      <c r="I834" s="181"/>
      <c r="J834" s="137"/>
      <c r="K834" s="23"/>
      <c r="L834" s="24"/>
      <c r="M834" s="137"/>
      <c r="N834" s="22"/>
      <c r="O834" s="22"/>
    </row>
    <row r="835" spans="1:15" s="25" customFormat="1" ht="14.25" x14ac:dyDescent="0.2">
      <c r="A835" s="167"/>
      <c r="B835" s="149"/>
      <c r="C835" s="152"/>
      <c r="D835" s="154" t="s">
        <v>246</v>
      </c>
      <c r="E835" s="152"/>
      <c r="F835" s="113"/>
      <c r="G835" s="145"/>
      <c r="H835" s="127"/>
      <c r="I835" s="37"/>
      <c r="J835" s="128"/>
      <c r="K835" s="179"/>
      <c r="L835" s="37"/>
      <c r="M835" s="128"/>
      <c r="N835" s="113"/>
      <c r="O835" s="113"/>
    </row>
    <row r="836" spans="1:15" s="25" customFormat="1" ht="14.25" x14ac:dyDescent="0.2">
      <c r="A836" s="14"/>
      <c r="B836" s="15"/>
      <c r="C836" s="16"/>
      <c r="D836" s="17"/>
      <c r="E836" s="23"/>
      <c r="F836" s="19"/>
      <c r="G836" s="23"/>
      <c r="H836" s="24"/>
      <c r="I836" s="181"/>
      <c r="J836" s="137"/>
      <c r="K836" s="23"/>
      <c r="L836" s="24"/>
      <c r="M836" s="137"/>
      <c r="N836" s="22"/>
      <c r="O836" s="22"/>
    </row>
    <row r="837" spans="1:15" s="25" customFormat="1" ht="33.75" x14ac:dyDescent="0.2">
      <c r="A837" s="581"/>
      <c r="B837" s="582" t="s">
        <v>247</v>
      </c>
      <c r="C837" s="583" t="s">
        <v>791</v>
      </c>
      <c r="D837" s="584" t="s">
        <v>724</v>
      </c>
      <c r="E837" s="583" t="s">
        <v>227</v>
      </c>
      <c r="F837" s="585">
        <f>'MEMÓRIA DE CÁLCULO'!AF59</f>
        <v>8</v>
      </c>
      <c r="G837" s="586"/>
      <c r="H837" s="588">
        <f>ROUND(SUM(H838:H839),2)</f>
        <v>89.9</v>
      </c>
      <c r="I837" s="588">
        <f>ROUND(SUM(I838:I839),2)</f>
        <v>6.29</v>
      </c>
      <c r="J837" s="589">
        <f>H837+I837</f>
        <v>96.190000000000012</v>
      </c>
      <c r="K837" s="587">
        <f>H837*F837</f>
        <v>719.2</v>
      </c>
      <c r="L837" s="588">
        <f>I837*F837</f>
        <v>50.32</v>
      </c>
      <c r="M837" s="589">
        <f>K837+L837</f>
        <v>769.5200000000001</v>
      </c>
      <c r="N837" s="585">
        <f>M837*$N$7</f>
        <v>188.99411200000003</v>
      </c>
      <c r="O837" s="585">
        <f>ROUND(M837+N837,2)</f>
        <v>958.51</v>
      </c>
    </row>
    <row r="838" spans="1:15" s="25" customFormat="1" ht="14.25" x14ac:dyDescent="0.2">
      <c r="A838" s="168"/>
      <c r="B838" s="159"/>
      <c r="C838" s="34"/>
      <c r="D838" s="153" t="s">
        <v>243</v>
      </c>
      <c r="E838" s="34" t="s">
        <v>229</v>
      </c>
      <c r="F838" s="148">
        <v>0.5</v>
      </c>
      <c r="G838" s="35">
        <v>12.57</v>
      </c>
      <c r="H838" s="131"/>
      <c r="I838" s="30">
        <f>F838*G838</f>
        <v>6.2850000000000001</v>
      </c>
      <c r="J838" s="132"/>
      <c r="K838" s="35"/>
      <c r="L838" s="35"/>
      <c r="M838" s="134"/>
      <c r="N838" s="114"/>
      <c r="O838" s="114"/>
    </row>
    <row r="839" spans="1:15" s="25" customFormat="1" ht="33.75" x14ac:dyDescent="0.2">
      <c r="A839" s="168"/>
      <c r="B839" s="159"/>
      <c r="C839" s="85" t="s">
        <v>203</v>
      </c>
      <c r="D839" s="153" t="str">
        <f>D837</f>
        <v>Papeleira em metal cromado de parafusar - referência: linha Deca Flex 2020 ou similar, que apresente características visuais e materiais de fabricação idênticos - instalado junto a cada bacia sanitária nova</v>
      </c>
      <c r="E839" s="34" t="s">
        <v>248</v>
      </c>
      <c r="F839" s="148">
        <v>1</v>
      </c>
      <c r="G839" s="35">
        <v>89.9</v>
      </c>
      <c r="H839" s="131">
        <f>F839*G839</f>
        <v>89.9</v>
      </c>
      <c r="I839" s="30"/>
      <c r="J839" s="132"/>
      <c r="K839" s="35"/>
      <c r="L839" s="35"/>
      <c r="M839" s="134"/>
      <c r="N839" s="114"/>
      <c r="O839" s="114"/>
    </row>
    <row r="840" spans="1:15" s="25" customFormat="1" ht="14.25" x14ac:dyDescent="0.2">
      <c r="A840" s="168"/>
      <c r="B840" s="159"/>
      <c r="C840" s="34"/>
      <c r="D840" s="153"/>
      <c r="E840" s="34"/>
      <c r="F840" s="148"/>
      <c r="G840" s="35"/>
      <c r="H840" s="131"/>
      <c r="I840" s="30"/>
      <c r="J840" s="132"/>
      <c r="K840" s="35"/>
      <c r="L840" s="35"/>
      <c r="M840" s="134"/>
      <c r="N840" s="114"/>
      <c r="O840" s="114"/>
    </row>
    <row r="841" spans="1:15" s="25" customFormat="1" ht="22.5" x14ac:dyDescent="0.2">
      <c r="A841" s="581"/>
      <c r="B841" s="582" t="s">
        <v>247</v>
      </c>
      <c r="C841" s="583" t="s">
        <v>792</v>
      </c>
      <c r="D841" s="584" t="s">
        <v>725</v>
      </c>
      <c r="E841" s="583" t="s">
        <v>227</v>
      </c>
      <c r="F841" s="585">
        <f>'MEMÓRIA DE CÁLCULO'!AG59</f>
        <v>9</v>
      </c>
      <c r="G841" s="586"/>
      <c r="H841" s="588">
        <f>ROUND(SUM(H842:H843),2)</f>
        <v>23.4</v>
      </c>
      <c r="I841" s="588">
        <f>ROUND(SUM(I842:I843),2)</f>
        <v>8.92</v>
      </c>
      <c r="J841" s="589">
        <f>H841+I841</f>
        <v>32.32</v>
      </c>
      <c r="K841" s="587">
        <f>H841*F841</f>
        <v>210.6</v>
      </c>
      <c r="L841" s="588">
        <f>I841*F841</f>
        <v>80.28</v>
      </c>
      <c r="M841" s="589">
        <f>K841+L841</f>
        <v>290.88</v>
      </c>
      <c r="N841" s="585">
        <f>M841*$N$7</f>
        <v>71.440128000000001</v>
      </c>
      <c r="O841" s="585">
        <f>ROUND(M841+N841,2)</f>
        <v>362.32</v>
      </c>
    </row>
    <row r="842" spans="1:15" s="25" customFormat="1" ht="14.25" x14ac:dyDescent="0.2">
      <c r="A842" s="168"/>
      <c r="B842" s="159"/>
      <c r="C842" s="34"/>
      <c r="D842" s="153" t="s">
        <v>249</v>
      </c>
      <c r="E842" s="34" t="s">
        <v>229</v>
      </c>
      <c r="F842" s="148">
        <v>1</v>
      </c>
      <c r="G842" s="35">
        <v>8.92</v>
      </c>
      <c r="H842" s="131"/>
      <c r="I842" s="30">
        <f>F842*G842</f>
        <v>8.92</v>
      </c>
      <c r="J842" s="132"/>
      <c r="K842" s="35"/>
      <c r="L842" s="35"/>
      <c r="M842" s="134"/>
      <c r="N842" s="114"/>
      <c r="O842" s="114"/>
    </row>
    <row r="843" spans="1:15" s="25" customFormat="1" ht="14.25" x14ac:dyDescent="0.2">
      <c r="A843" s="168"/>
      <c r="B843" s="159"/>
      <c r="C843" s="34"/>
      <c r="D843" s="153" t="str">
        <f>D841</f>
        <v>Saboneteira de plástico para sabonete líquido - referência:  Columbus ou similar</v>
      </c>
      <c r="E843" s="34" t="s">
        <v>229</v>
      </c>
      <c r="F843" s="148">
        <v>1</v>
      </c>
      <c r="G843" s="35">
        <v>23.4</v>
      </c>
      <c r="H843" s="131">
        <f>F843*G843</f>
        <v>23.4</v>
      </c>
      <c r="I843" s="30"/>
      <c r="J843" s="132"/>
      <c r="K843" s="35"/>
      <c r="L843" s="35"/>
      <c r="M843" s="134"/>
      <c r="N843" s="114"/>
      <c r="O843" s="114"/>
    </row>
    <row r="844" spans="1:15" s="25" customFormat="1" ht="14.25" x14ac:dyDescent="0.2">
      <c r="A844" s="168"/>
      <c r="B844" s="159"/>
      <c r="C844" s="34"/>
      <c r="D844" s="153"/>
      <c r="E844" s="34"/>
      <c r="F844" s="148"/>
      <c r="G844" s="35"/>
      <c r="H844" s="131"/>
      <c r="I844" s="30"/>
      <c r="J844" s="132"/>
      <c r="K844" s="35"/>
      <c r="L844" s="35"/>
      <c r="M844" s="134"/>
      <c r="N844" s="114"/>
      <c r="O844" s="114"/>
    </row>
    <row r="845" spans="1:15" s="25" customFormat="1" ht="22.5" x14ac:dyDescent="0.2">
      <c r="A845" s="581"/>
      <c r="B845" s="582" t="s">
        <v>247</v>
      </c>
      <c r="C845" s="583" t="s">
        <v>793</v>
      </c>
      <c r="D845" s="584" t="s">
        <v>726</v>
      </c>
      <c r="E845" s="583" t="s">
        <v>227</v>
      </c>
      <c r="F845" s="585">
        <f>'MEMÓRIA DE CÁLCULO'!AH59</f>
        <v>11</v>
      </c>
      <c r="G845" s="586"/>
      <c r="H845" s="588">
        <f>ROUND(SUM(H846:H847),2)</f>
        <v>28.3</v>
      </c>
      <c r="I845" s="588">
        <f>ROUND(SUM(I846:I847),2)</f>
        <v>8.92</v>
      </c>
      <c r="J845" s="589">
        <f>H845+I845</f>
        <v>37.22</v>
      </c>
      <c r="K845" s="587">
        <f>H845*F845</f>
        <v>311.3</v>
      </c>
      <c r="L845" s="588">
        <f>I845*F845</f>
        <v>98.12</v>
      </c>
      <c r="M845" s="589">
        <f>K845+L845</f>
        <v>409.42</v>
      </c>
      <c r="N845" s="585">
        <f>M845*$N$7</f>
        <v>100.55355200000001</v>
      </c>
      <c r="O845" s="585">
        <f>ROUND(M845+N845,2)</f>
        <v>509.97</v>
      </c>
    </row>
    <row r="846" spans="1:15" s="25" customFormat="1" ht="15" customHeight="1" x14ac:dyDescent="0.2">
      <c r="A846" s="168"/>
      <c r="B846" s="159"/>
      <c r="C846" s="34"/>
      <c r="D846" s="153" t="s">
        <v>249</v>
      </c>
      <c r="E846" s="34" t="s">
        <v>229</v>
      </c>
      <c r="F846" s="148">
        <v>1</v>
      </c>
      <c r="G846" s="35">
        <v>8.92</v>
      </c>
      <c r="H846" s="131"/>
      <c r="I846" s="30">
        <f>F846*G846</f>
        <v>8.92</v>
      </c>
      <c r="J846" s="132"/>
      <c r="K846" s="35"/>
      <c r="L846" s="35"/>
      <c r="M846" s="134"/>
      <c r="N846" s="114"/>
      <c r="O846" s="114"/>
    </row>
    <row r="847" spans="1:15" s="25" customFormat="1" ht="31.5" customHeight="1" x14ac:dyDescent="0.2">
      <c r="A847" s="168"/>
      <c r="B847" s="159"/>
      <c r="C847" s="34"/>
      <c r="D847" s="153" t="str">
        <f>D845</f>
        <v>Dispenser para papel toalha, linha standard - Fornecimento e instalação  - Referência Técnica: Columbus ou similar</v>
      </c>
      <c r="E847" s="34" t="s">
        <v>229</v>
      </c>
      <c r="F847" s="148">
        <v>1</v>
      </c>
      <c r="G847" s="35">
        <v>28.3</v>
      </c>
      <c r="H847" s="131">
        <f>F847*G847</f>
        <v>28.3</v>
      </c>
      <c r="I847" s="30"/>
      <c r="J847" s="132"/>
      <c r="K847" s="35"/>
      <c r="L847" s="35"/>
      <c r="M847" s="134"/>
      <c r="N847" s="114"/>
      <c r="O847" s="114"/>
    </row>
    <row r="848" spans="1:15" s="25" customFormat="1" ht="14.25" x14ac:dyDescent="0.2">
      <c r="A848" s="168"/>
      <c r="B848" s="159"/>
      <c r="C848" s="34"/>
      <c r="D848" s="153"/>
      <c r="E848" s="34"/>
      <c r="F848" s="148"/>
      <c r="G848" s="35"/>
      <c r="H848" s="131"/>
      <c r="I848" s="30"/>
      <c r="J848" s="132"/>
      <c r="K848" s="35"/>
      <c r="L848" s="35"/>
      <c r="M848" s="134"/>
      <c r="N848" s="114"/>
      <c r="O848" s="114"/>
    </row>
    <row r="849" spans="1:15" s="25" customFormat="1" ht="22.5" x14ac:dyDescent="0.2">
      <c r="A849" s="581"/>
      <c r="B849" s="582" t="s">
        <v>247</v>
      </c>
      <c r="C849" s="583" t="s">
        <v>794</v>
      </c>
      <c r="D849" s="584" t="s">
        <v>727</v>
      </c>
      <c r="E849" s="583" t="s">
        <v>227</v>
      </c>
      <c r="F849" s="585">
        <f>'MEMÓRIA DE CÁLCULO'!AE59</f>
        <v>11</v>
      </c>
      <c r="G849" s="586"/>
      <c r="H849" s="588">
        <f>ROUND(SUM(H850:H851),2)</f>
        <v>47.9</v>
      </c>
      <c r="I849" s="588">
        <f>ROUND(SUM(I850:I851),2)</f>
        <v>8.92</v>
      </c>
      <c r="J849" s="589">
        <f>H849+I849</f>
        <v>56.82</v>
      </c>
      <c r="K849" s="587">
        <f>H849*F849</f>
        <v>526.9</v>
      </c>
      <c r="L849" s="588">
        <f>I849*F849</f>
        <v>98.12</v>
      </c>
      <c r="M849" s="589">
        <f>K849+L849</f>
        <v>625.02</v>
      </c>
      <c r="N849" s="585">
        <f>M849*$N$7</f>
        <v>153.50491199999999</v>
      </c>
      <c r="O849" s="585">
        <f>ROUND(M849+N849,2)</f>
        <v>778.52</v>
      </c>
    </row>
    <row r="850" spans="1:15" s="25" customFormat="1" ht="14.25" x14ac:dyDescent="0.2">
      <c r="A850" s="168"/>
      <c r="B850" s="159"/>
      <c r="C850" s="34"/>
      <c r="D850" s="153" t="s">
        <v>250</v>
      </c>
      <c r="E850" s="34" t="s">
        <v>229</v>
      </c>
      <c r="F850" s="148">
        <v>1</v>
      </c>
      <c r="G850" s="35">
        <v>8.92</v>
      </c>
      <c r="H850" s="131"/>
      <c r="I850" s="30">
        <f>F850*G850</f>
        <v>8.92</v>
      </c>
      <c r="J850" s="132"/>
      <c r="K850" s="35"/>
      <c r="L850" s="35"/>
      <c r="M850" s="134"/>
      <c r="N850" s="114"/>
      <c r="O850" s="114"/>
    </row>
    <row r="851" spans="1:15" s="25" customFormat="1" ht="22.5" x14ac:dyDescent="0.2">
      <c r="A851" s="168"/>
      <c r="B851" s="159"/>
      <c r="C851" s="85" t="s">
        <v>203</v>
      </c>
      <c r="D851" s="153" t="str">
        <f>D849</f>
        <v>Toalheiro tipo gancho em metal cromado de parafusar - referêcnia: linha Deca Flex 2060 ou similar - instalados nos sanitários e nas copas</v>
      </c>
      <c r="E851" s="34" t="s">
        <v>251</v>
      </c>
      <c r="F851" s="148">
        <v>1</v>
      </c>
      <c r="G851" s="35">
        <v>47.9</v>
      </c>
      <c r="H851" s="131">
        <f>F851*G851</f>
        <v>47.9</v>
      </c>
      <c r="I851" s="30"/>
      <c r="J851" s="132"/>
      <c r="K851" s="35"/>
      <c r="L851" s="35"/>
      <c r="M851" s="134"/>
      <c r="N851" s="114"/>
      <c r="O851" s="114"/>
    </row>
    <row r="852" spans="1:15" s="13" customFormat="1" ht="12.75" x14ac:dyDescent="0.25">
      <c r="A852" s="168"/>
      <c r="B852" s="159"/>
      <c r="C852" s="34"/>
      <c r="D852" s="153"/>
      <c r="E852" s="34"/>
      <c r="F852" s="148"/>
      <c r="G852" s="35"/>
      <c r="H852" s="131"/>
      <c r="I852" s="30"/>
      <c r="J852" s="132"/>
      <c r="K852" s="35"/>
      <c r="L852" s="35"/>
      <c r="M852" s="134"/>
      <c r="N852" s="114"/>
      <c r="O852" s="114"/>
    </row>
    <row r="853" spans="1:15" s="25" customFormat="1" ht="33.75" x14ac:dyDescent="0.2">
      <c r="A853" s="581" t="s">
        <v>277</v>
      </c>
      <c r="B853" s="582" t="s">
        <v>252</v>
      </c>
      <c r="C853" s="583" t="s">
        <v>795</v>
      </c>
      <c r="D853" s="584" t="s">
        <v>728</v>
      </c>
      <c r="E853" s="583" t="s">
        <v>253</v>
      </c>
      <c r="F853" s="585">
        <f>'MEMÓRIA DE CÁLCULO'!AD59</f>
        <v>8</v>
      </c>
      <c r="G853" s="586"/>
      <c r="H853" s="587">
        <v>170.49</v>
      </c>
      <c r="I853" s="588">
        <v>3.6</v>
      </c>
      <c r="J853" s="589">
        <f>H853+I853</f>
        <v>174.09</v>
      </c>
      <c r="K853" s="587">
        <f>H853*F853</f>
        <v>1363.92</v>
      </c>
      <c r="L853" s="588">
        <f>I853*F853</f>
        <v>28.8</v>
      </c>
      <c r="M853" s="589">
        <f>K853+L853</f>
        <v>1392.72</v>
      </c>
      <c r="N853" s="585">
        <f>M853*$N$7</f>
        <v>342.052032</v>
      </c>
      <c r="O853" s="585">
        <f>ROUND(M853+N853,2)</f>
        <v>1734.77</v>
      </c>
    </row>
    <row r="854" spans="1:15" s="25" customFormat="1" ht="14.25" x14ac:dyDescent="0.2">
      <c r="A854" s="14"/>
      <c r="B854" s="15"/>
      <c r="C854" s="16"/>
      <c r="D854" s="17"/>
      <c r="E854" s="16"/>
      <c r="F854" s="17"/>
      <c r="G854" s="18"/>
      <c r="H854" s="24"/>
      <c r="I854" s="182"/>
      <c r="J854" s="139"/>
      <c r="K854" s="180"/>
      <c r="L854" s="21"/>
      <c r="M854" s="139"/>
      <c r="N854" s="22"/>
      <c r="O854" s="22"/>
    </row>
    <row r="855" spans="1:15" s="25" customFormat="1" ht="33.75" x14ac:dyDescent="0.2">
      <c r="A855" s="581" t="s">
        <v>225</v>
      </c>
      <c r="B855" s="582" t="s">
        <v>254</v>
      </c>
      <c r="C855" s="583" t="s">
        <v>796</v>
      </c>
      <c r="D855" s="584" t="s">
        <v>729</v>
      </c>
      <c r="E855" s="583" t="s">
        <v>227</v>
      </c>
      <c r="F855" s="585">
        <f>'MEMÓRIA DE CÁLCULO'!Y59</f>
        <v>9</v>
      </c>
      <c r="G855" s="586"/>
      <c r="H855" s="588">
        <f>ROUND(SUM(H856:H859),2)</f>
        <v>206.02</v>
      </c>
      <c r="I855" s="588">
        <f>ROUND(SUM(I856:I859),2)</f>
        <v>30.09</v>
      </c>
      <c r="J855" s="589">
        <f>H855+I855</f>
        <v>236.11</v>
      </c>
      <c r="K855" s="587">
        <f>H855*F855</f>
        <v>1854.18</v>
      </c>
      <c r="L855" s="588">
        <f>I855*F855</f>
        <v>270.81</v>
      </c>
      <c r="M855" s="589">
        <f>K855+L855</f>
        <v>2124.9900000000002</v>
      </c>
      <c r="N855" s="585">
        <f>M855*$N$7</f>
        <v>521.89754400000004</v>
      </c>
      <c r="O855" s="585">
        <f>ROUND(M855+N855,2)</f>
        <v>2646.89</v>
      </c>
    </row>
    <row r="856" spans="1:15" s="25" customFormat="1" ht="14.25" x14ac:dyDescent="0.2">
      <c r="A856" s="168"/>
      <c r="B856" s="159"/>
      <c r="C856" s="34"/>
      <c r="D856" s="153" t="s">
        <v>228</v>
      </c>
      <c r="E856" s="34" t="s">
        <v>229</v>
      </c>
      <c r="F856" s="148">
        <v>1.4</v>
      </c>
      <c r="G856" s="35">
        <v>8.92</v>
      </c>
      <c r="H856" s="131"/>
      <c r="I856" s="30">
        <f>F856*G856</f>
        <v>12.488</v>
      </c>
      <c r="J856" s="132"/>
      <c r="K856" s="35"/>
      <c r="L856" s="35"/>
      <c r="M856" s="134"/>
      <c r="N856" s="114"/>
      <c r="O856" s="114"/>
    </row>
    <row r="857" spans="1:15" s="25" customFormat="1" ht="14.25" x14ac:dyDescent="0.2">
      <c r="A857" s="168"/>
      <c r="B857" s="159"/>
      <c r="C857" s="34"/>
      <c r="D857" s="153" t="s">
        <v>230</v>
      </c>
      <c r="E857" s="34" t="s">
        <v>229</v>
      </c>
      <c r="F857" s="148">
        <v>1.4</v>
      </c>
      <c r="G857" s="35">
        <v>12.57</v>
      </c>
      <c r="H857" s="131"/>
      <c r="I857" s="30">
        <f>F857*G857</f>
        <v>17.597999999999999</v>
      </c>
      <c r="J857" s="132"/>
      <c r="K857" s="35"/>
      <c r="L857" s="35"/>
      <c r="M857" s="134"/>
      <c r="N857" s="114"/>
      <c r="O857" s="114"/>
    </row>
    <row r="858" spans="1:15" s="25" customFormat="1" ht="22.5" x14ac:dyDescent="0.2">
      <c r="A858" s="168"/>
      <c r="B858" s="159"/>
      <c r="C858" s="34"/>
      <c r="D858" s="153" t="s">
        <v>217</v>
      </c>
      <c r="E858" s="34" t="s">
        <v>227</v>
      </c>
      <c r="F858" s="148">
        <v>0.94</v>
      </c>
      <c r="G858" s="35">
        <v>0.13</v>
      </c>
      <c r="H858" s="131">
        <f>F858*G858</f>
        <v>0.1222</v>
      </c>
      <c r="I858" s="30"/>
      <c r="J858" s="132"/>
      <c r="K858" s="35"/>
      <c r="L858" s="35"/>
      <c r="M858" s="134"/>
      <c r="N858" s="114"/>
      <c r="O858" s="114"/>
    </row>
    <row r="859" spans="1:15" s="25" customFormat="1" ht="33.75" x14ac:dyDescent="0.2">
      <c r="A859" s="168"/>
      <c r="B859" s="159"/>
      <c r="C859" s="85" t="s">
        <v>203</v>
      </c>
      <c r="D859" s="153" t="str">
        <f>D855</f>
        <v>Torneira de pressão cromada para lavatório com fechamento automático - Referência: Torneira Lavatório uso público mesa Pressmatic Alfa CR 446106 - Docol ou similar - fechamaneto automático ou similar</v>
      </c>
      <c r="E859" s="34" t="s">
        <v>227</v>
      </c>
      <c r="F859" s="148">
        <v>1</v>
      </c>
      <c r="G859" s="35">
        <v>205.9</v>
      </c>
      <c r="H859" s="131">
        <f>F859*G859</f>
        <v>205.9</v>
      </c>
      <c r="I859" s="30"/>
      <c r="J859" s="132"/>
      <c r="K859" s="35"/>
      <c r="L859" s="35"/>
      <c r="M859" s="134"/>
      <c r="N859" s="114"/>
      <c r="O859" s="114"/>
    </row>
    <row r="860" spans="1:15" s="25" customFormat="1" ht="14.25" x14ac:dyDescent="0.2">
      <c r="A860" s="168"/>
      <c r="B860" s="159"/>
      <c r="C860" s="34"/>
      <c r="D860" s="153"/>
      <c r="E860" s="34"/>
      <c r="F860" s="148"/>
      <c r="G860" s="35"/>
      <c r="H860" s="131"/>
      <c r="I860" s="30"/>
      <c r="J860" s="132"/>
      <c r="K860" s="35"/>
      <c r="L860" s="35"/>
      <c r="M860" s="134"/>
      <c r="N860" s="114"/>
      <c r="O860" s="114"/>
    </row>
    <row r="861" spans="1:15" s="25" customFormat="1" ht="22.5" x14ac:dyDescent="0.2">
      <c r="A861" s="581" t="s">
        <v>225</v>
      </c>
      <c r="B861" s="582" t="s">
        <v>255</v>
      </c>
      <c r="C861" s="583" t="s">
        <v>797</v>
      </c>
      <c r="D861" s="584" t="s">
        <v>730</v>
      </c>
      <c r="E861" s="583" t="s">
        <v>227</v>
      </c>
      <c r="F861" s="585">
        <f>'MEMÓRIA DE CÁLCULO'!X59</f>
        <v>2</v>
      </c>
      <c r="G861" s="586"/>
      <c r="H861" s="588">
        <f>ROUND(SUM(H862:H865),2)</f>
        <v>231.35</v>
      </c>
      <c r="I861" s="588">
        <f>ROUND(SUM(I862:I865),2)</f>
        <v>30.09</v>
      </c>
      <c r="J861" s="589">
        <f>H861+I861</f>
        <v>261.44</v>
      </c>
      <c r="K861" s="587">
        <f>H861*F861</f>
        <v>462.7</v>
      </c>
      <c r="L861" s="588">
        <f>I861*F861</f>
        <v>60.18</v>
      </c>
      <c r="M861" s="589">
        <f>K861+L861</f>
        <v>522.88</v>
      </c>
      <c r="N861" s="585">
        <f>M861*$N$7</f>
        <v>128.41932800000001</v>
      </c>
      <c r="O861" s="585">
        <f>ROUND(M861+N861,2)</f>
        <v>651.29999999999995</v>
      </c>
    </row>
    <row r="862" spans="1:15" s="25" customFormat="1" ht="14.25" x14ac:dyDescent="0.2">
      <c r="A862" s="168"/>
      <c r="B862" s="159"/>
      <c r="C862" s="34"/>
      <c r="D862" s="153" t="s">
        <v>228</v>
      </c>
      <c r="E862" s="34" t="s">
        <v>229</v>
      </c>
      <c r="F862" s="148">
        <v>1.4</v>
      </c>
      <c r="G862" s="35">
        <v>8.92</v>
      </c>
      <c r="H862" s="131"/>
      <c r="I862" s="30">
        <f>F862*G862</f>
        <v>12.488</v>
      </c>
      <c r="J862" s="132"/>
      <c r="K862" s="35"/>
      <c r="L862" s="35"/>
      <c r="M862" s="134"/>
      <c r="N862" s="114"/>
      <c r="O862" s="114"/>
    </row>
    <row r="863" spans="1:15" s="25" customFormat="1" ht="14.25" x14ac:dyDescent="0.2">
      <c r="A863" s="168"/>
      <c r="B863" s="159"/>
      <c r="C863" s="34"/>
      <c r="D863" s="153" t="s">
        <v>230</v>
      </c>
      <c r="E863" s="34" t="s">
        <v>229</v>
      </c>
      <c r="F863" s="148">
        <v>1.4</v>
      </c>
      <c r="G863" s="35">
        <v>12.57</v>
      </c>
      <c r="H863" s="131"/>
      <c r="I863" s="30">
        <f>F863*G863</f>
        <v>17.597999999999999</v>
      </c>
      <c r="J863" s="132"/>
      <c r="K863" s="35"/>
      <c r="L863" s="35"/>
      <c r="M863" s="134"/>
      <c r="N863" s="114"/>
      <c r="O863" s="114"/>
    </row>
    <row r="864" spans="1:15" s="25" customFormat="1" ht="14.25" x14ac:dyDescent="0.2">
      <c r="A864" s="168"/>
      <c r="B864" s="159"/>
      <c r="C864" s="85" t="s">
        <v>203</v>
      </c>
      <c r="D864" s="153" t="s">
        <v>151</v>
      </c>
      <c r="E864" s="34" t="s">
        <v>227</v>
      </c>
      <c r="F864" s="148">
        <v>1</v>
      </c>
      <c r="G864" s="35">
        <v>231.23</v>
      </c>
      <c r="H864" s="131">
        <f>F864*G864</f>
        <v>231.23</v>
      </c>
      <c r="I864" s="30"/>
      <c r="J864" s="132"/>
      <c r="K864" s="35"/>
      <c r="L864" s="35"/>
      <c r="M864" s="134"/>
      <c r="N864" s="114"/>
      <c r="O864" s="114"/>
    </row>
    <row r="865" spans="1:15" s="25" customFormat="1" ht="22.5" x14ac:dyDescent="0.2">
      <c r="A865" s="168"/>
      <c r="B865" s="159"/>
      <c r="C865" s="34"/>
      <c r="D865" s="153" t="s">
        <v>217</v>
      </c>
      <c r="E865" s="34" t="s">
        <v>227</v>
      </c>
      <c r="F865" s="148">
        <v>0.94</v>
      </c>
      <c r="G865" s="35">
        <v>0.13</v>
      </c>
      <c r="H865" s="131">
        <f>F865*G865</f>
        <v>0.1222</v>
      </c>
      <c r="I865" s="30"/>
      <c r="J865" s="132"/>
      <c r="K865" s="35"/>
      <c r="L865" s="35"/>
      <c r="M865" s="134"/>
      <c r="N865" s="114"/>
      <c r="O865" s="114"/>
    </row>
    <row r="866" spans="1:15" s="25" customFormat="1" ht="14.25" x14ac:dyDescent="0.2">
      <c r="A866" s="168"/>
      <c r="B866" s="159"/>
      <c r="C866" s="34"/>
      <c r="D866" s="153"/>
      <c r="E866" s="34"/>
      <c r="F866" s="148"/>
      <c r="G866" s="35"/>
      <c r="H866" s="131"/>
      <c r="I866" s="30"/>
      <c r="J866" s="132"/>
      <c r="K866" s="35"/>
      <c r="L866" s="35"/>
      <c r="M866" s="134"/>
      <c r="N866" s="114"/>
      <c r="O866" s="114"/>
    </row>
    <row r="867" spans="1:15" s="25" customFormat="1" ht="22.5" x14ac:dyDescent="0.2">
      <c r="A867" s="581" t="s">
        <v>225</v>
      </c>
      <c r="B867" s="582" t="s">
        <v>255</v>
      </c>
      <c r="C867" s="583" t="s">
        <v>798</v>
      </c>
      <c r="D867" s="584" t="s">
        <v>731</v>
      </c>
      <c r="E867" s="583" t="s">
        <v>227</v>
      </c>
      <c r="F867" s="585">
        <v>1</v>
      </c>
      <c r="G867" s="586"/>
      <c r="H867" s="588">
        <f>ROUND(SUM(H868:H871),2)</f>
        <v>69.02</v>
      </c>
      <c r="I867" s="588">
        <f>ROUND(SUM(I868:I871),2)</f>
        <v>30.09</v>
      </c>
      <c r="J867" s="589">
        <f>H867+I867</f>
        <v>99.11</v>
      </c>
      <c r="K867" s="587">
        <f>H867*F867</f>
        <v>69.02</v>
      </c>
      <c r="L867" s="588">
        <f>I867*F867</f>
        <v>30.09</v>
      </c>
      <c r="M867" s="589">
        <f>K867+L867</f>
        <v>99.11</v>
      </c>
      <c r="N867" s="585">
        <f>M867*$N$7</f>
        <v>24.341416000000002</v>
      </c>
      <c r="O867" s="585">
        <f>ROUND(M867+N867,2)</f>
        <v>123.45</v>
      </c>
    </row>
    <row r="868" spans="1:15" s="25" customFormat="1" ht="14.25" x14ac:dyDescent="0.2">
      <c r="A868" s="168"/>
      <c r="B868" s="159"/>
      <c r="C868" s="34"/>
      <c r="D868" s="153" t="s">
        <v>228</v>
      </c>
      <c r="E868" s="34" t="s">
        <v>229</v>
      </c>
      <c r="F868" s="148">
        <v>1.4</v>
      </c>
      <c r="G868" s="35">
        <v>8.92</v>
      </c>
      <c r="H868" s="131"/>
      <c r="I868" s="30">
        <f>F868*G868</f>
        <v>12.488</v>
      </c>
      <c r="J868" s="132"/>
      <c r="K868" s="35"/>
      <c r="L868" s="35"/>
      <c r="M868" s="134"/>
      <c r="N868" s="114"/>
      <c r="O868" s="114"/>
    </row>
    <row r="869" spans="1:15" s="25" customFormat="1" ht="14.25" x14ac:dyDescent="0.2">
      <c r="A869" s="168"/>
      <c r="B869" s="159"/>
      <c r="C869" s="34"/>
      <c r="D869" s="153" t="s">
        <v>230</v>
      </c>
      <c r="E869" s="34" t="s">
        <v>229</v>
      </c>
      <c r="F869" s="148">
        <v>1.4</v>
      </c>
      <c r="G869" s="35">
        <v>12.57</v>
      </c>
      <c r="H869" s="131"/>
      <c r="I869" s="30">
        <f>F869*G869</f>
        <v>17.597999999999999</v>
      </c>
      <c r="J869" s="132"/>
      <c r="K869" s="35"/>
      <c r="L869" s="35"/>
      <c r="M869" s="134"/>
      <c r="N869" s="114"/>
      <c r="O869" s="114"/>
    </row>
    <row r="870" spans="1:15" s="25" customFormat="1" ht="14.25" x14ac:dyDescent="0.2">
      <c r="A870" s="168"/>
      <c r="B870" s="159"/>
      <c r="C870" s="85" t="s">
        <v>203</v>
      </c>
      <c r="D870" s="153" t="s">
        <v>152</v>
      </c>
      <c r="E870" s="34" t="s">
        <v>227</v>
      </c>
      <c r="F870" s="148">
        <v>1</v>
      </c>
      <c r="G870" s="35">
        <v>68.900000000000006</v>
      </c>
      <c r="H870" s="131">
        <f>F870*G870</f>
        <v>68.900000000000006</v>
      </c>
      <c r="I870" s="30"/>
      <c r="J870" s="132"/>
      <c r="K870" s="35"/>
      <c r="L870" s="35"/>
      <c r="M870" s="134"/>
      <c r="N870" s="114"/>
      <c r="O870" s="114"/>
    </row>
    <row r="871" spans="1:15" s="25" customFormat="1" ht="22.5" x14ac:dyDescent="0.2">
      <c r="A871" s="168"/>
      <c r="B871" s="159"/>
      <c r="C871" s="34"/>
      <c r="D871" s="153" t="s">
        <v>217</v>
      </c>
      <c r="E871" s="34" t="s">
        <v>227</v>
      </c>
      <c r="F871" s="148">
        <v>0.94</v>
      </c>
      <c r="G871" s="35">
        <v>0.13</v>
      </c>
      <c r="H871" s="131">
        <f>F871*G871</f>
        <v>0.1222</v>
      </c>
      <c r="I871" s="30"/>
      <c r="J871" s="132"/>
      <c r="K871" s="35"/>
      <c r="L871" s="35"/>
      <c r="M871" s="134"/>
      <c r="N871" s="114"/>
      <c r="O871" s="114"/>
    </row>
    <row r="872" spans="1:15" s="25" customFormat="1" ht="14.25" x14ac:dyDescent="0.2">
      <c r="A872" s="168"/>
      <c r="B872" s="159"/>
      <c r="C872" s="34"/>
      <c r="D872" s="153"/>
      <c r="E872" s="34"/>
      <c r="F872" s="148"/>
      <c r="G872" s="35"/>
      <c r="H872" s="131"/>
      <c r="I872" s="30"/>
      <c r="J872" s="132"/>
      <c r="K872" s="35"/>
      <c r="L872" s="35"/>
      <c r="M872" s="134"/>
      <c r="N872" s="114"/>
      <c r="O872" s="114"/>
    </row>
    <row r="873" spans="1:15" s="25" customFormat="1" ht="22.5" x14ac:dyDescent="0.2">
      <c r="A873" s="581"/>
      <c r="B873" s="582" t="s">
        <v>247</v>
      </c>
      <c r="C873" s="583" t="s">
        <v>799</v>
      </c>
      <c r="D873" s="584" t="s">
        <v>732</v>
      </c>
      <c r="E873" s="583" t="s">
        <v>227</v>
      </c>
      <c r="F873" s="585">
        <f>'MEMÓRIA DE CÁLCULO'!V59</f>
        <v>1</v>
      </c>
      <c r="G873" s="586"/>
      <c r="H873" s="588">
        <f>ROUND(SUM(H874:H876),2)</f>
        <v>305.3</v>
      </c>
      <c r="I873" s="588">
        <f>ROUND(SUM(I874:I876),2)</f>
        <v>21.49</v>
      </c>
      <c r="J873" s="589">
        <f>H873+I873</f>
        <v>326.79000000000002</v>
      </c>
      <c r="K873" s="587">
        <f>H873*F873</f>
        <v>305.3</v>
      </c>
      <c r="L873" s="588">
        <f>I873*F873</f>
        <v>21.49</v>
      </c>
      <c r="M873" s="589">
        <f>K873+L873</f>
        <v>326.79000000000002</v>
      </c>
      <c r="N873" s="585">
        <f>M873*$N$7</f>
        <v>80.259624000000002</v>
      </c>
      <c r="O873" s="585">
        <f>ROUND(M873+N873,2)</f>
        <v>407.05</v>
      </c>
    </row>
    <row r="874" spans="1:15" s="25" customFormat="1" ht="14.25" x14ac:dyDescent="0.2">
      <c r="A874" s="168"/>
      <c r="B874" s="159"/>
      <c r="C874" s="34"/>
      <c r="D874" s="153" t="s">
        <v>243</v>
      </c>
      <c r="E874" s="34" t="s">
        <v>229</v>
      </c>
      <c r="F874" s="148">
        <v>1</v>
      </c>
      <c r="G874" s="35">
        <v>12.57</v>
      </c>
      <c r="H874" s="131"/>
      <c r="I874" s="30">
        <f>F874*G874</f>
        <v>12.57</v>
      </c>
      <c r="J874" s="132"/>
      <c r="K874" s="35"/>
      <c r="L874" s="35"/>
      <c r="M874" s="134"/>
      <c r="N874" s="114"/>
      <c r="O874" s="114"/>
    </row>
    <row r="875" spans="1:15" s="25" customFormat="1" ht="14.25" x14ac:dyDescent="0.2">
      <c r="A875" s="168"/>
      <c r="B875" s="159"/>
      <c r="C875" s="34"/>
      <c r="D875" s="153" t="s">
        <v>207</v>
      </c>
      <c r="E875" s="34" t="s">
        <v>229</v>
      </c>
      <c r="F875" s="148">
        <v>1</v>
      </c>
      <c r="G875" s="35">
        <v>8.92</v>
      </c>
      <c r="H875" s="131"/>
      <c r="I875" s="30">
        <f>F875*G875</f>
        <v>8.92</v>
      </c>
      <c r="J875" s="132"/>
      <c r="K875" s="35"/>
      <c r="L875" s="35"/>
      <c r="M875" s="134"/>
      <c r="N875" s="114"/>
      <c r="O875" s="114"/>
    </row>
    <row r="876" spans="1:15" s="25" customFormat="1" ht="22.5" x14ac:dyDescent="0.2">
      <c r="A876" s="168"/>
      <c r="B876" s="159"/>
      <c r="C876" s="85" t="s">
        <v>203</v>
      </c>
      <c r="D876" s="153" t="s">
        <v>256</v>
      </c>
      <c r="E876" s="34" t="s">
        <v>227</v>
      </c>
      <c r="F876" s="148">
        <v>1</v>
      </c>
      <c r="G876" s="35">
        <v>297.3</v>
      </c>
      <c r="H876" s="131">
        <v>305.3</v>
      </c>
      <c r="I876" s="30"/>
      <c r="J876" s="132"/>
      <c r="K876" s="35"/>
      <c r="L876" s="35"/>
      <c r="M876" s="134"/>
      <c r="N876" s="114"/>
      <c r="O876" s="114"/>
    </row>
    <row r="877" spans="1:15" s="25" customFormat="1" ht="14.25" x14ac:dyDescent="0.2">
      <c r="A877" s="168"/>
      <c r="B877" s="159"/>
      <c r="C877" s="34"/>
      <c r="D877" s="153"/>
      <c r="E877" s="34"/>
      <c r="F877" s="148"/>
      <c r="G877" s="35"/>
      <c r="H877" s="131"/>
      <c r="I877" s="30"/>
      <c r="J877" s="132"/>
      <c r="K877" s="35"/>
      <c r="L877" s="35"/>
      <c r="M877" s="134"/>
      <c r="N877" s="114"/>
      <c r="O877" s="114"/>
    </row>
    <row r="878" spans="1:15" s="25" customFormat="1" ht="33.75" x14ac:dyDescent="0.2">
      <c r="A878" s="581"/>
      <c r="B878" s="582" t="s">
        <v>247</v>
      </c>
      <c r="C878" s="583" t="s">
        <v>800</v>
      </c>
      <c r="D878" s="584" t="s">
        <v>733</v>
      </c>
      <c r="E878" s="583" t="s">
        <v>227</v>
      </c>
      <c r="F878" s="585">
        <f>'MEMÓRIA DE CÁLCULO'!AB59</f>
        <v>2</v>
      </c>
      <c r="G878" s="586"/>
      <c r="H878" s="588">
        <f>ROUND(SUM(H879:H881),2)</f>
        <v>102.25</v>
      </c>
      <c r="I878" s="588">
        <f>ROUND(SUM(I879:I881),2)</f>
        <v>21.49</v>
      </c>
      <c r="J878" s="589">
        <f>H878+I878</f>
        <v>123.74</v>
      </c>
      <c r="K878" s="587">
        <f>H878*F878</f>
        <v>204.5</v>
      </c>
      <c r="L878" s="588">
        <f>I878*F878</f>
        <v>42.98</v>
      </c>
      <c r="M878" s="589">
        <f>K878+L878</f>
        <v>247.48</v>
      </c>
      <c r="N878" s="585">
        <f>M878*$N$7</f>
        <v>60.781088000000004</v>
      </c>
      <c r="O878" s="585">
        <f>ROUND(M878+N878,2)</f>
        <v>308.26</v>
      </c>
    </row>
    <row r="879" spans="1:15" s="25" customFormat="1" ht="14.25" x14ac:dyDescent="0.2">
      <c r="A879" s="169" t="s">
        <v>327</v>
      </c>
      <c r="B879" s="159"/>
      <c r="C879" s="34"/>
      <c r="D879" s="153" t="s">
        <v>243</v>
      </c>
      <c r="E879" s="34" t="s">
        <v>229</v>
      </c>
      <c r="F879" s="148">
        <v>1</v>
      </c>
      <c r="G879" s="35">
        <v>12.57</v>
      </c>
      <c r="H879" s="131"/>
      <c r="I879" s="30">
        <f>F879*G879</f>
        <v>12.57</v>
      </c>
      <c r="J879" s="132"/>
      <c r="K879" s="35"/>
      <c r="L879" s="35"/>
      <c r="M879" s="134"/>
      <c r="N879" s="114"/>
      <c r="O879" s="114"/>
    </row>
    <row r="880" spans="1:15" s="25" customFormat="1" ht="14.25" x14ac:dyDescent="0.2">
      <c r="A880" s="168"/>
      <c r="B880" s="159"/>
      <c r="C880" s="34"/>
      <c r="D880" s="153" t="s">
        <v>207</v>
      </c>
      <c r="E880" s="34" t="s">
        <v>229</v>
      </c>
      <c r="F880" s="148">
        <v>1</v>
      </c>
      <c r="G880" s="35">
        <v>8.92</v>
      </c>
      <c r="H880" s="131"/>
      <c r="I880" s="30">
        <f>F880*G880</f>
        <v>8.92</v>
      </c>
      <c r="J880" s="132"/>
      <c r="K880" s="35"/>
      <c r="L880" s="35"/>
      <c r="M880" s="134"/>
      <c r="N880" s="114"/>
      <c r="O880" s="114"/>
    </row>
    <row r="881" spans="1:15" s="25" customFormat="1" ht="22.5" x14ac:dyDescent="0.2">
      <c r="A881" s="168"/>
      <c r="B881" s="159"/>
      <c r="C881" s="85" t="s">
        <v>203</v>
      </c>
      <c r="D881" s="153" t="s">
        <v>257</v>
      </c>
      <c r="E881" s="34" t="s">
        <v>227</v>
      </c>
      <c r="F881" s="148">
        <v>1</v>
      </c>
      <c r="G881" s="35">
        <v>102.25</v>
      </c>
      <c r="H881" s="131">
        <f>F881*G881</f>
        <v>102.25</v>
      </c>
      <c r="I881" s="30"/>
      <c r="J881" s="132"/>
      <c r="K881" s="35"/>
      <c r="L881" s="35"/>
      <c r="M881" s="134"/>
      <c r="N881" s="114"/>
      <c r="O881" s="114"/>
    </row>
    <row r="882" spans="1:15" s="25" customFormat="1" ht="14.25" x14ac:dyDescent="0.2">
      <c r="A882" s="168"/>
      <c r="B882" s="159"/>
      <c r="C882" s="34"/>
      <c r="D882" s="153"/>
      <c r="E882" s="34"/>
      <c r="F882" s="148"/>
      <c r="G882" s="35"/>
      <c r="H882" s="131"/>
      <c r="I882" s="30"/>
      <c r="J882" s="132"/>
      <c r="K882" s="35"/>
      <c r="L882" s="35"/>
      <c r="M882" s="134"/>
      <c r="N882" s="114"/>
      <c r="O882" s="114"/>
    </row>
    <row r="883" spans="1:15" s="25" customFormat="1" ht="22.5" x14ac:dyDescent="0.2">
      <c r="A883" s="581" t="s">
        <v>278</v>
      </c>
      <c r="B883" s="582" t="s">
        <v>294</v>
      </c>
      <c r="C883" s="583" t="s">
        <v>801</v>
      </c>
      <c r="D883" s="584" t="s">
        <v>734</v>
      </c>
      <c r="E883" s="583" t="s">
        <v>315</v>
      </c>
      <c r="F883" s="585">
        <v>2</v>
      </c>
      <c r="G883" s="586"/>
      <c r="H883" s="588">
        <f>ROUND(SUM(H884:H888),2)</f>
        <v>142.6</v>
      </c>
      <c r="I883" s="588">
        <f>ROUND(SUM(I884:I888),2)</f>
        <v>12.63</v>
      </c>
      <c r="J883" s="589">
        <f>H883+I883</f>
        <v>155.22999999999999</v>
      </c>
      <c r="K883" s="587">
        <f>H883*F883</f>
        <v>285.2</v>
      </c>
      <c r="L883" s="588">
        <f>I883*F883</f>
        <v>25.26</v>
      </c>
      <c r="M883" s="589">
        <f>K883+L883</f>
        <v>310.45999999999998</v>
      </c>
      <c r="N883" s="585">
        <f>M883*$N$7</f>
        <v>76.248975999999999</v>
      </c>
      <c r="O883" s="585">
        <f>ROUND(M883+N883,2)</f>
        <v>386.71</v>
      </c>
    </row>
    <row r="884" spans="1:15" s="25" customFormat="1" ht="14.25" x14ac:dyDescent="0.2">
      <c r="A884" s="168"/>
      <c r="B884" s="159"/>
      <c r="C884" s="34"/>
      <c r="D884" s="153" t="s">
        <v>300</v>
      </c>
      <c r="E884" s="34" t="s">
        <v>307</v>
      </c>
      <c r="F884" s="148">
        <v>0.5</v>
      </c>
      <c r="G884" s="35">
        <v>8.92</v>
      </c>
      <c r="H884" s="131"/>
      <c r="I884" s="30">
        <f>F884*G884</f>
        <v>4.46</v>
      </c>
      <c r="J884" s="132"/>
      <c r="K884" s="35"/>
      <c r="L884" s="35"/>
      <c r="M884" s="134"/>
      <c r="N884" s="114"/>
      <c r="O884" s="114"/>
    </row>
    <row r="885" spans="1:15" s="25" customFormat="1" ht="14.25" x14ac:dyDescent="0.2">
      <c r="A885" s="168"/>
      <c r="B885" s="159"/>
      <c r="C885" s="34"/>
      <c r="D885" s="153" t="s">
        <v>289</v>
      </c>
      <c r="E885" s="34" t="s">
        <v>307</v>
      </c>
      <c r="F885" s="148">
        <v>0.15</v>
      </c>
      <c r="G885" s="35">
        <v>12.57</v>
      </c>
      <c r="H885" s="131"/>
      <c r="I885" s="30">
        <f>F885*G885</f>
        <v>1.8855</v>
      </c>
      <c r="J885" s="132"/>
      <c r="K885" s="35"/>
      <c r="L885" s="35"/>
      <c r="M885" s="134"/>
      <c r="N885" s="114"/>
      <c r="O885" s="114"/>
    </row>
    <row r="886" spans="1:15" s="25" customFormat="1" ht="14.25" x14ac:dyDescent="0.2">
      <c r="A886" s="168"/>
      <c r="B886" s="159"/>
      <c r="C886" s="34"/>
      <c r="D886" s="153" t="s">
        <v>299</v>
      </c>
      <c r="E886" s="34" t="s">
        <v>307</v>
      </c>
      <c r="F886" s="148">
        <v>0.5</v>
      </c>
      <c r="G886" s="35">
        <v>12.57</v>
      </c>
      <c r="H886" s="131"/>
      <c r="I886" s="30">
        <f>F886*G886</f>
        <v>6.2850000000000001</v>
      </c>
      <c r="J886" s="132"/>
      <c r="K886" s="35"/>
      <c r="L886" s="35"/>
      <c r="M886" s="134"/>
      <c r="N886" s="114"/>
      <c r="O886" s="114"/>
    </row>
    <row r="887" spans="1:15" s="25" customFormat="1" ht="33.75" x14ac:dyDescent="0.2">
      <c r="A887" s="168"/>
      <c r="B887" s="159"/>
      <c r="C887" s="34"/>
      <c r="D887" s="153" t="s">
        <v>286</v>
      </c>
      <c r="E887" s="34" t="s">
        <v>315</v>
      </c>
      <c r="F887" s="148">
        <v>1</v>
      </c>
      <c r="G887" s="35">
        <v>7.69</v>
      </c>
      <c r="H887" s="131">
        <f>F887*G887</f>
        <v>7.69</v>
      </c>
      <c r="I887" s="30"/>
      <c r="J887" s="132"/>
      <c r="K887" s="35"/>
      <c r="L887" s="35"/>
      <c r="M887" s="134"/>
      <c r="N887" s="114"/>
      <c r="O887" s="114"/>
    </row>
    <row r="888" spans="1:15" s="27" customFormat="1" x14ac:dyDescent="0.2">
      <c r="A888" s="168"/>
      <c r="B888" s="159"/>
      <c r="C888" s="85" t="s">
        <v>203</v>
      </c>
      <c r="D888" s="153" t="s">
        <v>287</v>
      </c>
      <c r="E888" s="34" t="s">
        <v>315</v>
      </c>
      <c r="F888" s="148">
        <v>1</v>
      </c>
      <c r="G888" s="35">
        <v>134.91</v>
      </c>
      <c r="H888" s="131">
        <f>F888*G888</f>
        <v>134.91</v>
      </c>
      <c r="I888" s="30"/>
      <c r="J888" s="132"/>
      <c r="K888" s="35"/>
      <c r="L888" s="35"/>
      <c r="M888" s="134"/>
      <c r="N888" s="114"/>
      <c r="O888" s="114"/>
    </row>
    <row r="889" spans="1:15" s="25" customFormat="1" ht="14.25" x14ac:dyDescent="0.2">
      <c r="A889" s="168"/>
      <c r="B889" s="159"/>
      <c r="C889" s="34"/>
      <c r="D889" s="153" t="s">
        <v>288</v>
      </c>
      <c r="E889" s="34"/>
      <c r="F889" s="148"/>
      <c r="G889" s="35"/>
      <c r="H889" s="131"/>
      <c r="I889" s="30"/>
      <c r="J889" s="132"/>
      <c r="K889" s="35"/>
      <c r="L889" s="35"/>
      <c r="M889" s="134"/>
      <c r="N889" s="114"/>
      <c r="O889" s="114"/>
    </row>
    <row r="890" spans="1:15" s="25" customFormat="1" ht="22.5" x14ac:dyDescent="0.2">
      <c r="A890" s="581" t="s">
        <v>225</v>
      </c>
      <c r="B890" s="582" t="s">
        <v>179</v>
      </c>
      <c r="C890" s="583" t="s">
        <v>802</v>
      </c>
      <c r="D890" s="584" t="s">
        <v>735</v>
      </c>
      <c r="E890" s="583" t="s">
        <v>227</v>
      </c>
      <c r="F890" s="585">
        <f>'MEMÓRIA DE CÁLCULO'!U59</f>
        <v>1</v>
      </c>
      <c r="G890" s="586"/>
      <c r="H890" s="588">
        <f>ROUND(SUM(H891:H895),2)</f>
        <v>79.959999999999994</v>
      </c>
      <c r="I890" s="588">
        <f>ROUND(SUM(I891:I895),2)</f>
        <v>42.98</v>
      </c>
      <c r="J890" s="589">
        <f>H890+I890</f>
        <v>122.94</v>
      </c>
      <c r="K890" s="587">
        <f>H890*F890</f>
        <v>79.959999999999994</v>
      </c>
      <c r="L890" s="588">
        <f>I890*F890</f>
        <v>42.98</v>
      </c>
      <c r="M890" s="589">
        <f>K890+L890</f>
        <v>122.94</v>
      </c>
      <c r="N890" s="585">
        <f>M890*$N$7</f>
        <v>30.194064000000001</v>
      </c>
      <c r="O890" s="585">
        <f>ROUND(M890+N890,2)</f>
        <v>153.13</v>
      </c>
    </row>
    <row r="891" spans="1:15" s="25" customFormat="1" ht="14.25" x14ac:dyDescent="0.2">
      <c r="A891" s="168"/>
      <c r="B891" s="159"/>
      <c r="C891" s="34"/>
      <c r="D891" s="153" t="s">
        <v>228</v>
      </c>
      <c r="E891" s="34" t="s">
        <v>229</v>
      </c>
      <c r="F891" s="148">
        <v>2</v>
      </c>
      <c r="G891" s="35">
        <v>8.92</v>
      </c>
      <c r="H891" s="131"/>
      <c r="I891" s="30">
        <f>F891*G891</f>
        <v>17.84</v>
      </c>
      <c r="J891" s="132"/>
      <c r="K891" s="35"/>
      <c r="L891" s="35"/>
      <c r="M891" s="134"/>
      <c r="N891" s="114"/>
      <c r="O891" s="114"/>
    </row>
    <row r="892" spans="1:15" s="25" customFormat="1" ht="14.25" x14ac:dyDescent="0.2">
      <c r="A892" s="168"/>
      <c r="B892" s="159"/>
      <c r="C892" s="34"/>
      <c r="D892" s="153" t="s">
        <v>230</v>
      </c>
      <c r="E892" s="34" t="s">
        <v>229</v>
      </c>
      <c r="F892" s="148">
        <v>2</v>
      </c>
      <c r="G892" s="35">
        <v>12.57</v>
      </c>
      <c r="H892" s="131"/>
      <c r="I892" s="30">
        <f>F892*G892</f>
        <v>25.14</v>
      </c>
      <c r="J892" s="132"/>
      <c r="K892" s="35"/>
      <c r="L892" s="35"/>
      <c r="M892" s="134"/>
      <c r="N892" s="114"/>
      <c r="O892" s="114"/>
    </row>
    <row r="893" spans="1:15" s="25" customFormat="1" ht="22.5" x14ac:dyDescent="0.2">
      <c r="A893" s="168"/>
      <c r="B893" s="159"/>
      <c r="C893" s="34"/>
      <c r="D893" s="153" t="str">
        <f>D890</f>
        <v>Base para válvula de descarga metálica Ø 32 mm (1 1/4") ou 40 mm (1 1/2")  - Referência: Docol Salvágua cromado 451106 - botão de duplo acionamento  (pne)</v>
      </c>
      <c r="E893" s="34" t="s">
        <v>248</v>
      </c>
      <c r="F893" s="148">
        <v>1</v>
      </c>
      <c r="G893" s="35">
        <v>62.72</v>
      </c>
      <c r="H893" s="131">
        <f>F893*G893</f>
        <v>62.72</v>
      </c>
      <c r="I893" s="30"/>
      <c r="J893" s="132"/>
      <c r="K893" s="35"/>
      <c r="L893" s="35"/>
      <c r="M893" s="134"/>
      <c r="N893" s="114"/>
      <c r="O893" s="114"/>
    </row>
    <row r="894" spans="1:15" s="25" customFormat="1" ht="22.5" x14ac:dyDescent="0.2">
      <c r="A894" s="168"/>
      <c r="B894" s="159"/>
      <c r="C894" s="34"/>
      <c r="D894" s="153" t="s">
        <v>180</v>
      </c>
      <c r="E894" s="34" t="s">
        <v>227</v>
      </c>
      <c r="F894" s="148">
        <v>0.6</v>
      </c>
      <c r="G894" s="35">
        <v>28.33</v>
      </c>
      <c r="H894" s="131">
        <f>F894*G894</f>
        <v>16.997999999999998</v>
      </c>
      <c r="I894" s="30"/>
      <c r="J894" s="132"/>
      <c r="K894" s="35"/>
      <c r="L894" s="35"/>
      <c r="M894" s="134"/>
      <c r="N894" s="114"/>
      <c r="O894" s="114"/>
    </row>
    <row r="895" spans="1:15" s="25" customFormat="1" ht="22.5" x14ac:dyDescent="0.2">
      <c r="A895" s="168"/>
      <c r="B895" s="159"/>
      <c r="C895" s="34"/>
      <c r="D895" s="153" t="s">
        <v>217</v>
      </c>
      <c r="E895" s="34" t="s">
        <v>227</v>
      </c>
      <c r="F895" s="148">
        <v>1.88</v>
      </c>
      <c r="G895" s="35">
        <v>0.13</v>
      </c>
      <c r="H895" s="131">
        <f>F895*G895</f>
        <v>0.24440000000000001</v>
      </c>
      <c r="I895" s="30"/>
      <c r="J895" s="132"/>
      <c r="K895" s="35"/>
      <c r="L895" s="35"/>
      <c r="M895" s="134"/>
      <c r="N895" s="114"/>
      <c r="O895" s="114"/>
    </row>
    <row r="896" spans="1:15" s="25" customFormat="1" ht="14.25" x14ac:dyDescent="0.2">
      <c r="A896" s="168"/>
      <c r="B896" s="159"/>
      <c r="C896" s="34"/>
      <c r="D896" s="153" t="s">
        <v>288</v>
      </c>
      <c r="E896" s="34"/>
      <c r="F896" s="148"/>
      <c r="G896" s="35"/>
      <c r="H896" s="131"/>
      <c r="I896" s="30"/>
      <c r="J896" s="132"/>
      <c r="K896" s="35"/>
      <c r="L896" s="35"/>
      <c r="M896" s="134"/>
      <c r="N896" s="114"/>
      <c r="O896" s="114"/>
    </row>
    <row r="897" spans="1:15" s="25" customFormat="1" ht="33.75" x14ac:dyDescent="0.2">
      <c r="A897" s="581"/>
      <c r="B897" s="582" t="s">
        <v>181</v>
      </c>
      <c r="C897" s="583" t="s">
        <v>803</v>
      </c>
      <c r="D897" s="584" t="s">
        <v>736</v>
      </c>
      <c r="E897" s="583" t="s">
        <v>227</v>
      </c>
      <c r="F897" s="585">
        <f>F890</f>
        <v>1</v>
      </c>
      <c r="G897" s="586"/>
      <c r="H897" s="588">
        <f>ROUND(SUM(H898:H899),2)</f>
        <v>398.64</v>
      </c>
      <c r="I897" s="588">
        <f>ROUND(SUM(I898:I899),2)</f>
        <v>6.69</v>
      </c>
      <c r="J897" s="589">
        <f>H897+I897</f>
        <v>405.33</v>
      </c>
      <c r="K897" s="587">
        <f>H897*F897</f>
        <v>398.64</v>
      </c>
      <c r="L897" s="588">
        <f>I897*F897</f>
        <v>6.69</v>
      </c>
      <c r="M897" s="589">
        <f>K897+L897</f>
        <v>405.33</v>
      </c>
      <c r="N897" s="585">
        <f>M897*$N$7</f>
        <v>99.549047999999999</v>
      </c>
      <c r="O897" s="585">
        <f>ROUND(M897+N897,2)</f>
        <v>504.88</v>
      </c>
    </row>
    <row r="898" spans="1:15" s="25" customFormat="1" ht="14.25" x14ac:dyDescent="0.2">
      <c r="A898" s="168"/>
      <c r="B898" s="159"/>
      <c r="C898" s="34"/>
      <c r="D898" s="153" t="s">
        <v>228</v>
      </c>
      <c r="E898" s="34" t="s">
        <v>229</v>
      </c>
      <c r="F898" s="148">
        <v>0.75</v>
      </c>
      <c r="G898" s="35">
        <v>8.92</v>
      </c>
      <c r="H898" s="131"/>
      <c r="I898" s="30">
        <f>F898*G898</f>
        <v>6.6899999999999995</v>
      </c>
      <c r="J898" s="132"/>
      <c r="K898" s="35"/>
      <c r="L898" s="35"/>
      <c r="M898" s="134"/>
      <c r="N898" s="114"/>
      <c r="O898" s="114"/>
    </row>
    <row r="899" spans="1:15" s="25" customFormat="1" ht="33.75" x14ac:dyDescent="0.2">
      <c r="A899" s="168"/>
      <c r="B899" s="159"/>
      <c r="C899" s="85" t="s">
        <v>203</v>
      </c>
      <c r="D899" s="153" t="str">
        <f>D897</f>
        <v>Acabamento cromado para válvula de descarga tipo barra para acionamento - referência: Acabamento Válv. Desc. 1.1/2" Benefit Cr 184906 - Docol ou similar (pne)</v>
      </c>
      <c r="E899" s="34" t="s">
        <v>248</v>
      </c>
      <c r="F899" s="148">
        <v>1</v>
      </c>
      <c r="G899" s="35">
        <v>398.64</v>
      </c>
      <c r="H899" s="131">
        <f>F899*G899</f>
        <v>398.64</v>
      </c>
      <c r="I899" s="30"/>
      <c r="J899" s="132"/>
      <c r="K899" s="35"/>
      <c r="L899" s="35"/>
      <c r="M899" s="134"/>
      <c r="N899" s="114"/>
      <c r="O899" s="114"/>
    </row>
    <row r="900" spans="1:15" s="13" customFormat="1" ht="12.75" x14ac:dyDescent="0.25">
      <c r="A900" s="14"/>
      <c r="B900" s="15"/>
      <c r="C900" s="16"/>
      <c r="D900" s="17"/>
      <c r="E900" s="16"/>
      <c r="F900" s="15"/>
      <c r="G900" s="16"/>
      <c r="H900" s="177"/>
      <c r="I900" s="178"/>
      <c r="J900" s="183"/>
      <c r="K900" s="16"/>
      <c r="L900" s="177"/>
      <c r="M900" s="178"/>
      <c r="N900" s="176"/>
      <c r="O900" s="22"/>
    </row>
    <row r="901" spans="1:15" s="25" customFormat="1" ht="14.25" x14ac:dyDescent="0.2">
      <c r="A901" s="167"/>
      <c r="B901" s="149"/>
      <c r="C901" s="152"/>
      <c r="D901" s="154" t="s">
        <v>221</v>
      </c>
      <c r="E901" s="152"/>
      <c r="F901" s="113"/>
      <c r="G901" s="145"/>
      <c r="H901" s="127"/>
      <c r="I901" s="37"/>
      <c r="J901" s="128"/>
      <c r="K901" s="179"/>
      <c r="L901" s="37"/>
      <c r="M901" s="128"/>
      <c r="N901" s="113"/>
      <c r="O901" s="113"/>
    </row>
    <row r="902" spans="1:15" s="25" customFormat="1" ht="14.25" x14ac:dyDescent="0.2">
      <c r="A902" s="166"/>
      <c r="B902" s="160"/>
      <c r="C902" s="31"/>
      <c r="D902" s="146" t="s">
        <v>288</v>
      </c>
      <c r="E902" s="32"/>
      <c r="F902" s="147"/>
      <c r="G902" s="33"/>
      <c r="H902" s="129"/>
      <c r="I902" s="29"/>
      <c r="J902" s="130"/>
      <c r="K902" s="33"/>
      <c r="L902" s="33"/>
      <c r="M902" s="136"/>
      <c r="N902" s="115"/>
      <c r="O902" s="115"/>
    </row>
    <row r="903" spans="1:15" s="25" customFormat="1" ht="22.5" x14ac:dyDescent="0.2">
      <c r="A903" s="581" t="s">
        <v>277</v>
      </c>
      <c r="B903" s="582">
        <v>40777</v>
      </c>
      <c r="C903" s="583" t="s">
        <v>804</v>
      </c>
      <c r="D903" s="584" t="s">
        <v>65</v>
      </c>
      <c r="E903" s="583" t="s">
        <v>281</v>
      </c>
      <c r="F903" s="585">
        <f>'MEMÓRIA DE CÁLCULO'!AA59</f>
        <v>12</v>
      </c>
      <c r="G903" s="586"/>
      <c r="H903" s="587">
        <v>22.77</v>
      </c>
      <c r="I903" s="588">
        <f>1.01*10.73</f>
        <v>10.837300000000001</v>
      </c>
      <c r="J903" s="589">
        <f>H903+I903</f>
        <v>33.607300000000002</v>
      </c>
      <c r="K903" s="587">
        <f>H903*F903</f>
        <v>273.24</v>
      </c>
      <c r="L903" s="588">
        <f>I903*F903</f>
        <v>130.04760000000002</v>
      </c>
      <c r="M903" s="589">
        <f>K903+L903</f>
        <v>403.2876</v>
      </c>
      <c r="N903" s="585">
        <f>M903*$N$7</f>
        <v>99.047434559999999</v>
      </c>
      <c r="O903" s="585">
        <f>ROUND(M903+N903,2)</f>
        <v>502.34</v>
      </c>
    </row>
    <row r="904" spans="1:15" s="25" customFormat="1" ht="14.25" x14ac:dyDescent="0.2">
      <c r="A904" s="166"/>
      <c r="B904" s="160"/>
      <c r="C904" s="31"/>
      <c r="D904" s="146" t="s">
        <v>288</v>
      </c>
      <c r="E904" s="32"/>
      <c r="F904" s="147"/>
      <c r="G904" s="33"/>
      <c r="H904" s="129"/>
      <c r="I904" s="29"/>
      <c r="J904" s="130"/>
      <c r="K904" s="33"/>
      <c r="L904" s="33"/>
      <c r="M904" s="136"/>
      <c r="N904" s="115"/>
      <c r="O904" s="115"/>
    </row>
    <row r="905" spans="1:15" s="25" customFormat="1" ht="14.25" x14ac:dyDescent="0.2">
      <c r="A905" s="581" t="s">
        <v>278</v>
      </c>
      <c r="B905" s="582">
        <v>14001000005</v>
      </c>
      <c r="C905" s="583" t="s">
        <v>805</v>
      </c>
      <c r="D905" s="584" t="s">
        <v>737</v>
      </c>
      <c r="E905" s="583" t="s">
        <v>281</v>
      </c>
      <c r="F905" s="585">
        <v>2</v>
      </c>
      <c r="G905" s="586"/>
      <c r="H905" s="588">
        <f>ROUND(SUM(H906:H909),2)</f>
        <v>40.159999999999997</v>
      </c>
      <c r="I905" s="588">
        <f>ROUND(SUM(I906:I909),2)</f>
        <v>9.67</v>
      </c>
      <c r="J905" s="589">
        <f>H905+I905</f>
        <v>49.83</v>
      </c>
      <c r="K905" s="587">
        <f>H905*F905</f>
        <v>80.319999999999993</v>
      </c>
      <c r="L905" s="588">
        <f>I905*F905</f>
        <v>19.34</v>
      </c>
      <c r="M905" s="589">
        <f>K905+L905</f>
        <v>99.66</v>
      </c>
      <c r="N905" s="585">
        <f>M905*$N$7</f>
        <v>24.476496000000001</v>
      </c>
      <c r="O905" s="585">
        <f>ROUND(M905+N905,2)</f>
        <v>124.14</v>
      </c>
    </row>
    <row r="906" spans="1:15" s="369" customFormat="1" ht="11.25" x14ac:dyDescent="0.25">
      <c r="A906" s="362"/>
      <c r="B906" s="363"/>
      <c r="C906" s="364"/>
      <c r="D906" s="365" t="s">
        <v>228</v>
      </c>
      <c r="E906" s="366" t="s">
        <v>229</v>
      </c>
      <c r="F906" s="367">
        <v>0.45</v>
      </c>
      <c r="G906" s="35">
        <v>8.92</v>
      </c>
      <c r="H906" s="133"/>
      <c r="I906" s="35">
        <f>F906*G906</f>
        <v>4.0140000000000002</v>
      </c>
      <c r="J906" s="134"/>
      <c r="K906" s="133"/>
      <c r="L906" s="35"/>
      <c r="M906" s="134"/>
      <c r="N906" s="117"/>
      <c r="O906" s="368"/>
    </row>
    <row r="907" spans="1:15" s="369" customFormat="1" ht="11.25" x14ac:dyDescent="0.25">
      <c r="A907" s="362"/>
      <c r="B907" s="363"/>
      <c r="C907" s="364"/>
      <c r="D907" s="365" t="s">
        <v>230</v>
      </c>
      <c r="E907" s="366" t="s">
        <v>229</v>
      </c>
      <c r="F907" s="367">
        <v>0.45</v>
      </c>
      <c r="G907" s="35">
        <v>12.57</v>
      </c>
      <c r="H907" s="133"/>
      <c r="I907" s="35">
        <f>F907*G907</f>
        <v>5.6565000000000003</v>
      </c>
      <c r="J907" s="134"/>
      <c r="K907" s="133"/>
      <c r="L907" s="35"/>
      <c r="M907" s="134"/>
      <c r="N907" s="115"/>
      <c r="O907" s="358"/>
    </row>
    <row r="908" spans="1:15" s="369" customFormat="1" ht="11.25" x14ac:dyDescent="0.25">
      <c r="A908" s="362"/>
      <c r="B908" s="363"/>
      <c r="C908" s="364"/>
      <c r="D908" s="365" t="s">
        <v>549</v>
      </c>
      <c r="E908" s="366" t="s">
        <v>313</v>
      </c>
      <c r="F908" s="367">
        <v>9.5000000000000001E-2</v>
      </c>
      <c r="G908" s="35">
        <v>31.93</v>
      </c>
      <c r="H908" s="133">
        <f>F908*G908</f>
        <v>3.03335</v>
      </c>
      <c r="I908" s="35"/>
      <c r="J908" s="134"/>
      <c r="K908" s="133"/>
      <c r="L908" s="35"/>
      <c r="M908" s="134"/>
      <c r="N908" s="114"/>
      <c r="O908" s="370"/>
    </row>
    <row r="909" spans="1:15" s="379" customFormat="1" ht="11.25" x14ac:dyDescent="0.25">
      <c r="A909" s="362"/>
      <c r="B909" s="363"/>
      <c r="C909" s="364"/>
      <c r="D909" s="365" t="str">
        <f>D905</f>
        <v>Caixa de gordura de polietileno, 250 x 172 x 50mm - uma por copa.</v>
      </c>
      <c r="E909" s="366" t="s">
        <v>227</v>
      </c>
      <c r="F909" s="367">
        <v>1</v>
      </c>
      <c r="G909" s="371">
        <v>37.130000000000003</v>
      </c>
      <c r="H909" s="133">
        <f>F909*G909</f>
        <v>37.130000000000003</v>
      </c>
      <c r="I909" s="372"/>
      <c r="J909" s="373"/>
      <c r="K909" s="374"/>
      <c r="L909" s="375"/>
      <c r="M909" s="376"/>
      <c r="N909" s="377"/>
      <c r="O909" s="378"/>
    </row>
    <row r="910" spans="1:15" s="25" customFormat="1" ht="14.25" x14ac:dyDescent="0.2">
      <c r="A910" s="166"/>
      <c r="B910" s="160"/>
      <c r="C910" s="31"/>
      <c r="D910" s="146" t="s">
        <v>288</v>
      </c>
      <c r="E910" s="32"/>
      <c r="F910" s="147"/>
      <c r="G910" s="33"/>
      <c r="H910" s="129"/>
      <c r="I910" s="29"/>
      <c r="J910" s="130"/>
      <c r="K910" s="33"/>
      <c r="L910" s="33"/>
      <c r="M910" s="136"/>
      <c r="N910" s="115"/>
      <c r="O910" s="115"/>
    </row>
    <row r="911" spans="1:15" s="25" customFormat="1" ht="14.25" x14ac:dyDescent="0.2">
      <c r="A911" s="167"/>
      <c r="B911" s="149"/>
      <c r="C911" s="152"/>
      <c r="D911" s="154" t="s">
        <v>518</v>
      </c>
      <c r="E911" s="152"/>
      <c r="F911" s="113"/>
      <c r="G911" s="145"/>
      <c r="H911" s="127"/>
      <c r="I911" s="37"/>
      <c r="J911" s="128"/>
      <c r="K911" s="179"/>
      <c r="L911" s="37"/>
      <c r="M911" s="128"/>
      <c r="N911" s="113"/>
      <c r="O911" s="113"/>
    </row>
    <row r="912" spans="1:15" s="25" customFormat="1" ht="14.25" x14ac:dyDescent="0.2">
      <c r="A912" s="166"/>
      <c r="B912" s="160"/>
      <c r="C912" s="31"/>
      <c r="D912" s="146" t="s">
        <v>288</v>
      </c>
      <c r="E912" s="32"/>
      <c r="F912" s="147"/>
      <c r="G912" s="33"/>
      <c r="H912" s="129"/>
      <c r="I912" s="29"/>
      <c r="J912" s="130"/>
      <c r="K912" s="33"/>
      <c r="L912" s="33"/>
      <c r="M912" s="136"/>
      <c r="N912" s="115"/>
      <c r="O912" s="115"/>
    </row>
    <row r="913" spans="1:15" s="25" customFormat="1" ht="22.5" x14ac:dyDescent="0.2">
      <c r="A913" s="581"/>
      <c r="B913" s="582" t="s">
        <v>280</v>
      </c>
      <c r="C913" s="583" t="s">
        <v>806</v>
      </c>
      <c r="D913" s="584" t="s">
        <v>738</v>
      </c>
      <c r="E913" s="583" t="s">
        <v>281</v>
      </c>
      <c r="F913" s="585">
        <f>'MEMÓRIA DE CÁLCULO'!AL59</f>
        <v>5</v>
      </c>
      <c r="G913" s="586"/>
      <c r="H913" s="587">
        <v>69</v>
      </c>
      <c r="I913" s="588">
        <v>30</v>
      </c>
      <c r="J913" s="589">
        <f>H913+I913</f>
        <v>99</v>
      </c>
      <c r="K913" s="587">
        <f>H913*F913</f>
        <v>345</v>
      </c>
      <c r="L913" s="588">
        <f>I913*F913</f>
        <v>150</v>
      </c>
      <c r="M913" s="589">
        <f>K913+L913</f>
        <v>495</v>
      </c>
      <c r="N913" s="585">
        <f>M913*$N$7</f>
        <v>121.572</v>
      </c>
      <c r="O913" s="585">
        <f>ROUND(M913+N913,2)</f>
        <v>616.57000000000005</v>
      </c>
    </row>
    <row r="914" spans="1:15" s="25" customFormat="1" ht="14.25" x14ac:dyDescent="0.2">
      <c r="A914" s="166"/>
      <c r="B914" s="160"/>
      <c r="C914" s="31"/>
      <c r="D914" s="146" t="s">
        <v>288</v>
      </c>
      <c r="E914" s="32"/>
      <c r="F914" s="147"/>
      <c r="G914" s="33"/>
      <c r="H914" s="129"/>
      <c r="I914" s="29"/>
      <c r="J914" s="130"/>
      <c r="K914" s="33"/>
      <c r="L914" s="33"/>
      <c r="M914" s="136"/>
      <c r="N914" s="115"/>
      <c r="O914" s="115"/>
    </row>
    <row r="915" spans="1:15" s="356" customFormat="1" ht="11.25" x14ac:dyDescent="0.2">
      <c r="A915" s="424"/>
      <c r="B915" s="425"/>
      <c r="C915" s="426"/>
      <c r="D915" s="427" t="s">
        <v>436</v>
      </c>
      <c r="E915" s="428"/>
      <c r="F915" s="429"/>
      <c r="G915" s="430"/>
      <c r="H915" s="431"/>
      <c r="I915" s="432"/>
      <c r="J915" s="433"/>
      <c r="K915" s="431"/>
      <c r="L915" s="432"/>
      <c r="M915" s="433"/>
      <c r="N915" s="434"/>
      <c r="O915" s="434"/>
    </row>
    <row r="916" spans="1:15" s="25" customFormat="1" ht="14.25" x14ac:dyDescent="0.2">
      <c r="A916" s="166"/>
      <c r="B916" s="160"/>
      <c r="C916" s="31"/>
      <c r="D916" s="146" t="s">
        <v>288</v>
      </c>
      <c r="E916" s="32"/>
      <c r="F916" s="147"/>
      <c r="G916" s="33"/>
      <c r="H916" s="129"/>
      <c r="I916" s="29"/>
      <c r="J916" s="130"/>
      <c r="K916" s="129"/>
      <c r="L916" s="29"/>
      <c r="M916" s="130"/>
      <c r="N916" s="115"/>
      <c r="O916" s="115"/>
    </row>
    <row r="917" spans="1:15" s="361" customFormat="1" ht="11.25" x14ac:dyDescent="0.2">
      <c r="A917" s="359"/>
      <c r="B917" s="149"/>
      <c r="C917" s="152"/>
      <c r="D917" s="154" t="s">
        <v>460</v>
      </c>
      <c r="E917" s="152"/>
      <c r="F917" s="113"/>
      <c r="G917" s="145"/>
      <c r="H917" s="127"/>
      <c r="I917" s="37"/>
      <c r="J917" s="128"/>
      <c r="K917" s="127"/>
      <c r="L917" s="37"/>
      <c r="M917" s="128"/>
      <c r="N917" s="113"/>
      <c r="O917" s="360"/>
    </row>
    <row r="918" spans="1:15" s="361" customFormat="1" ht="11.25" x14ac:dyDescent="0.2">
      <c r="A918" s="359"/>
      <c r="B918" s="149"/>
      <c r="C918" s="152"/>
      <c r="D918" s="154"/>
      <c r="E918" s="152"/>
      <c r="F918" s="113"/>
      <c r="G918" s="145"/>
      <c r="H918" s="127"/>
      <c r="I918" s="179"/>
      <c r="J918" s="128"/>
      <c r="K918" s="127"/>
      <c r="L918" s="37"/>
      <c r="M918" s="128"/>
      <c r="N918" s="113"/>
      <c r="O918" s="360"/>
    </row>
    <row r="919" spans="1:15" s="25" customFormat="1" ht="14.25" x14ac:dyDescent="0.2">
      <c r="A919" s="581" t="s">
        <v>225</v>
      </c>
      <c r="B919" s="582" t="s">
        <v>461</v>
      </c>
      <c r="C919" s="583" t="s">
        <v>807</v>
      </c>
      <c r="D919" s="584" t="s">
        <v>707</v>
      </c>
      <c r="E919" s="583" t="s">
        <v>227</v>
      </c>
      <c r="F919" s="585">
        <f>'MEMÓRIA DE CÁLCULO'!O82</f>
        <v>19</v>
      </c>
      <c r="G919" s="586"/>
      <c r="H919" s="588">
        <f>ROUND(SUM(H920:H925),2)</f>
        <v>29.91</v>
      </c>
      <c r="I919" s="588">
        <f>ROUND(SUM(I920:I925),2)</f>
        <v>64.47</v>
      </c>
      <c r="J919" s="589">
        <f>H919+I919</f>
        <v>94.38</v>
      </c>
      <c r="K919" s="587">
        <f>H919*F919</f>
        <v>568.29</v>
      </c>
      <c r="L919" s="588">
        <f>I919*F919</f>
        <v>1224.93</v>
      </c>
      <c r="M919" s="589">
        <f>K919+L919</f>
        <v>1793.22</v>
      </c>
      <c r="N919" s="585">
        <f>M919*$N$7</f>
        <v>440.41483200000005</v>
      </c>
      <c r="O919" s="585">
        <f>ROUND(M919+N919,2)</f>
        <v>2233.63</v>
      </c>
    </row>
    <row r="920" spans="1:15" s="369" customFormat="1" ht="11.25" x14ac:dyDescent="0.25">
      <c r="A920" s="362"/>
      <c r="B920" s="363"/>
      <c r="C920" s="364"/>
      <c r="D920" s="365" t="s">
        <v>228</v>
      </c>
      <c r="E920" s="366" t="s">
        <v>229</v>
      </c>
      <c r="F920" s="367">
        <v>3</v>
      </c>
      <c r="G920" s="35">
        <v>8.92</v>
      </c>
      <c r="H920" s="133"/>
      <c r="I920" s="35">
        <f>F920*G920</f>
        <v>26.759999999999998</v>
      </c>
      <c r="J920" s="134"/>
      <c r="K920" s="133"/>
      <c r="L920" s="35"/>
      <c r="M920" s="134"/>
      <c r="N920" s="117"/>
      <c r="O920" s="368"/>
    </row>
    <row r="921" spans="1:15" s="369" customFormat="1" ht="11.25" x14ac:dyDescent="0.25">
      <c r="A921" s="362"/>
      <c r="B921" s="363"/>
      <c r="C921" s="364"/>
      <c r="D921" s="365" t="s">
        <v>230</v>
      </c>
      <c r="E921" s="366" t="s">
        <v>229</v>
      </c>
      <c r="F921" s="367">
        <v>3</v>
      </c>
      <c r="G921" s="35">
        <v>12.57</v>
      </c>
      <c r="H921" s="133"/>
      <c r="I921" s="35">
        <f>F921*G921</f>
        <v>37.71</v>
      </c>
      <c r="J921" s="134"/>
      <c r="K921" s="133"/>
      <c r="L921" s="35"/>
      <c r="M921" s="134"/>
      <c r="N921" s="115"/>
      <c r="O921" s="358"/>
    </row>
    <row r="922" spans="1:15" s="369" customFormat="1" ht="11.25" x14ac:dyDescent="0.25">
      <c r="A922" s="362"/>
      <c r="B922" s="363"/>
      <c r="C922" s="364"/>
      <c r="D922" s="365" t="s">
        <v>462</v>
      </c>
      <c r="E922" s="366" t="s">
        <v>248</v>
      </c>
      <c r="F922" s="367">
        <v>8</v>
      </c>
      <c r="G922" s="35">
        <v>1.9</v>
      </c>
      <c r="H922" s="133">
        <f>F922*G922</f>
        <v>15.2</v>
      </c>
      <c r="I922" s="35"/>
      <c r="J922" s="134"/>
      <c r="K922" s="133"/>
      <c r="L922" s="35"/>
      <c r="M922" s="134"/>
      <c r="N922" s="114"/>
      <c r="O922" s="370"/>
    </row>
    <row r="923" spans="1:15" s="379" customFormat="1" ht="22.5" x14ac:dyDescent="0.25">
      <c r="A923" s="362"/>
      <c r="B923" s="363"/>
      <c r="C923" s="364"/>
      <c r="D923" s="365" t="s">
        <v>463</v>
      </c>
      <c r="E923" s="366" t="s">
        <v>227</v>
      </c>
      <c r="F923" s="367">
        <v>1</v>
      </c>
      <c r="G923" s="371">
        <v>2.0099999999999998</v>
      </c>
      <c r="H923" s="133">
        <f>F923*G923</f>
        <v>2.0099999999999998</v>
      </c>
      <c r="I923" s="372"/>
      <c r="J923" s="373"/>
      <c r="K923" s="374"/>
      <c r="L923" s="375"/>
      <c r="M923" s="376"/>
      <c r="N923" s="377"/>
      <c r="O923" s="378"/>
    </row>
    <row r="924" spans="1:15" s="379" customFormat="1" ht="22.5" x14ac:dyDescent="0.25">
      <c r="A924" s="362"/>
      <c r="B924" s="363"/>
      <c r="C924" s="364"/>
      <c r="D924" s="365" t="s">
        <v>464</v>
      </c>
      <c r="E924" s="366" t="s">
        <v>227</v>
      </c>
      <c r="F924" s="367">
        <v>3</v>
      </c>
      <c r="G924" s="371">
        <v>1.58</v>
      </c>
      <c r="H924" s="133">
        <f>F924*G924</f>
        <v>4.74</v>
      </c>
      <c r="I924" s="372"/>
      <c r="J924" s="373"/>
      <c r="K924" s="374"/>
      <c r="L924" s="375"/>
      <c r="M924" s="376"/>
      <c r="N924" s="377"/>
      <c r="O924" s="378"/>
    </row>
    <row r="925" spans="1:15" s="379" customFormat="1" ht="22.5" x14ac:dyDescent="0.25">
      <c r="A925" s="362"/>
      <c r="B925" s="363"/>
      <c r="C925" s="364"/>
      <c r="D925" s="380" t="s">
        <v>465</v>
      </c>
      <c r="E925" s="364" t="s">
        <v>227</v>
      </c>
      <c r="F925" s="367">
        <v>1</v>
      </c>
      <c r="G925" s="381">
        <v>7.96</v>
      </c>
      <c r="H925" s="133">
        <f>F925*G925</f>
        <v>7.96</v>
      </c>
      <c r="I925" s="382"/>
      <c r="J925" s="373"/>
      <c r="K925" s="374"/>
      <c r="L925" s="375"/>
      <c r="M925" s="376"/>
      <c r="N925" s="377"/>
      <c r="O925" s="378"/>
    </row>
    <row r="926" spans="1:15" s="379" customFormat="1" ht="11.25" x14ac:dyDescent="0.25">
      <c r="A926" s="362"/>
      <c r="B926" s="363"/>
      <c r="C926" s="364"/>
      <c r="D926" s="365"/>
      <c r="E926" s="366"/>
      <c r="F926" s="380"/>
      <c r="G926" s="383"/>
      <c r="H926" s="384"/>
      <c r="I926" s="372"/>
      <c r="J926" s="373"/>
      <c r="K926" s="374"/>
      <c r="L926" s="375"/>
      <c r="M926" s="376"/>
      <c r="N926" s="377"/>
      <c r="O926" s="378"/>
    </row>
    <row r="927" spans="1:15" s="25" customFormat="1" ht="22.5" x14ac:dyDescent="0.2">
      <c r="A927" s="581" t="s">
        <v>225</v>
      </c>
      <c r="B927" s="582" t="s">
        <v>1018</v>
      </c>
      <c r="C927" s="583" t="s">
        <v>808</v>
      </c>
      <c r="D927" s="584" t="s">
        <v>708</v>
      </c>
      <c r="E927" s="583" t="s">
        <v>227</v>
      </c>
      <c r="F927" s="585">
        <f>'MEMÓRIA DE CÁLCULO'!P82</f>
        <v>1</v>
      </c>
      <c r="G927" s="586"/>
      <c r="H927" s="588">
        <f>ROUND(SUM(H928:H933),2)</f>
        <v>63.83</v>
      </c>
      <c r="I927" s="588">
        <f>ROUND(SUM(I928:I933),2)</f>
        <v>64.47</v>
      </c>
      <c r="J927" s="589">
        <f>H927+I927</f>
        <v>128.30000000000001</v>
      </c>
      <c r="K927" s="587">
        <f>H927*F927</f>
        <v>63.83</v>
      </c>
      <c r="L927" s="588">
        <f>I927*F927</f>
        <v>64.47</v>
      </c>
      <c r="M927" s="589">
        <f>K927+L927</f>
        <v>128.30000000000001</v>
      </c>
      <c r="N927" s="585">
        <f>M927*$N$7</f>
        <v>31.510480000000005</v>
      </c>
      <c r="O927" s="585">
        <f>ROUND(M927+N927,2)</f>
        <v>159.81</v>
      </c>
    </row>
    <row r="928" spans="1:15" s="369" customFormat="1" ht="18.75" customHeight="1" x14ac:dyDescent="0.25">
      <c r="A928" s="362"/>
      <c r="B928" s="363"/>
      <c r="C928" s="364"/>
      <c r="D928" s="365" t="s">
        <v>228</v>
      </c>
      <c r="E928" s="366" t="s">
        <v>229</v>
      </c>
      <c r="F928" s="367">
        <v>3</v>
      </c>
      <c r="G928" s="35">
        <v>8.92</v>
      </c>
      <c r="H928" s="385"/>
      <c r="I928" s="386">
        <f>F928*G928</f>
        <v>26.759999999999998</v>
      </c>
      <c r="J928" s="387"/>
      <c r="K928" s="374"/>
      <c r="L928" s="388"/>
      <c r="M928" s="389"/>
      <c r="N928" s="390"/>
      <c r="O928" s="363"/>
    </row>
    <row r="929" spans="1:15" s="369" customFormat="1" ht="11.25" x14ac:dyDescent="0.25">
      <c r="A929" s="362"/>
      <c r="B929" s="363"/>
      <c r="C929" s="364"/>
      <c r="D929" s="365" t="s">
        <v>230</v>
      </c>
      <c r="E929" s="366" t="s">
        <v>229</v>
      </c>
      <c r="F929" s="367">
        <v>3</v>
      </c>
      <c r="G929" s="35">
        <v>12.57</v>
      </c>
      <c r="H929" s="385"/>
      <c r="I929" s="386">
        <f>F929*G929</f>
        <v>37.71</v>
      </c>
      <c r="J929" s="387"/>
      <c r="K929" s="374"/>
      <c r="L929" s="388"/>
      <c r="M929" s="389"/>
      <c r="N929" s="390"/>
      <c r="O929" s="363"/>
    </row>
    <row r="930" spans="1:15" s="369" customFormat="1" ht="18" customHeight="1" x14ac:dyDescent="0.25">
      <c r="A930" s="391"/>
      <c r="B930" s="392"/>
      <c r="C930" s="366"/>
      <c r="D930" s="365" t="s">
        <v>467</v>
      </c>
      <c r="E930" s="366" t="s">
        <v>248</v>
      </c>
      <c r="F930" s="367">
        <v>8</v>
      </c>
      <c r="G930" s="371">
        <v>4.37</v>
      </c>
      <c r="H930" s="385">
        <f>F930*G930</f>
        <v>34.96</v>
      </c>
      <c r="I930" s="386"/>
      <c r="J930" s="387"/>
      <c r="K930" s="374"/>
      <c r="L930" s="388"/>
      <c r="M930" s="389"/>
      <c r="N930" s="390"/>
      <c r="O930" s="363"/>
    </row>
    <row r="931" spans="1:15" s="369" customFormat="1" ht="21" customHeight="1" x14ac:dyDescent="0.25">
      <c r="A931" s="362"/>
      <c r="B931" s="363"/>
      <c r="C931" s="364"/>
      <c r="D931" s="380" t="s">
        <v>468</v>
      </c>
      <c r="E931" s="366" t="s">
        <v>227</v>
      </c>
      <c r="F931" s="367">
        <v>1</v>
      </c>
      <c r="G931" s="381">
        <v>1.07</v>
      </c>
      <c r="H931" s="385">
        <f>F931*G931</f>
        <v>1.07</v>
      </c>
      <c r="I931" s="393"/>
      <c r="J931" s="394"/>
      <c r="K931" s="364"/>
      <c r="L931" s="388"/>
      <c r="M931" s="389"/>
      <c r="N931" s="390"/>
      <c r="O931" s="363"/>
    </row>
    <row r="932" spans="1:15" s="369" customFormat="1" ht="31.5" customHeight="1" x14ac:dyDescent="0.25">
      <c r="A932" s="362"/>
      <c r="B932" s="363"/>
      <c r="C932" s="364"/>
      <c r="D932" s="380" t="s">
        <v>469</v>
      </c>
      <c r="E932" s="366" t="s">
        <v>227</v>
      </c>
      <c r="F932" s="367">
        <v>3</v>
      </c>
      <c r="G932" s="381">
        <v>7.82</v>
      </c>
      <c r="H932" s="385">
        <f>F932*G932</f>
        <v>23.46</v>
      </c>
      <c r="I932" s="393"/>
      <c r="J932" s="394"/>
      <c r="K932" s="364"/>
      <c r="L932" s="388"/>
      <c r="M932" s="389"/>
      <c r="N932" s="390"/>
      <c r="O932" s="363"/>
    </row>
    <row r="933" spans="1:15" s="369" customFormat="1" ht="30.75" customHeight="1" x14ac:dyDescent="0.25">
      <c r="A933" s="362"/>
      <c r="B933" s="363"/>
      <c r="C933" s="364"/>
      <c r="D933" s="380" t="s">
        <v>470</v>
      </c>
      <c r="E933" s="366" t="s">
        <v>227</v>
      </c>
      <c r="F933" s="367">
        <v>1</v>
      </c>
      <c r="G933" s="381">
        <v>4.34</v>
      </c>
      <c r="H933" s="385">
        <f>F933*G933</f>
        <v>4.34</v>
      </c>
      <c r="I933" s="393"/>
      <c r="J933" s="394"/>
      <c r="K933" s="364"/>
      <c r="L933" s="388"/>
      <c r="M933" s="389"/>
      <c r="N933" s="390"/>
      <c r="O933" s="363"/>
    </row>
    <row r="934" spans="1:15" s="369" customFormat="1" ht="11.25" x14ac:dyDescent="0.25">
      <c r="A934" s="362"/>
      <c r="B934" s="363"/>
      <c r="C934" s="364"/>
      <c r="D934" s="363"/>
      <c r="E934" s="364"/>
      <c r="F934" s="367"/>
      <c r="G934" s="381"/>
      <c r="H934" s="367"/>
      <c r="I934" s="393"/>
      <c r="J934" s="394"/>
      <c r="K934" s="364"/>
      <c r="L934" s="388"/>
      <c r="M934" s="389"/>
      <c r="N934" s="390"/>
      <c r="O934" s="363"/>
    </row>
    <row r="935" spans="1:15" s="25" customFormat="1" ht="14.25" x14ac:dyDescent="0.2">
      <c r="A935" s="581" t="s">
        <v>225</v>
      </c>
      <c r="B935" s="582" t="s">
        <v>471</v>
      </c>
      <c r="C935" s="583" t="s">
        <v>809</v>
      </c>
      <c r="D935" s="584" t="s">
        <v>709</v>
      </c>
      <c r="E935" s="583" t="s">
        <v>227</v>
      </c>
      <c r="F935" s="585">
        <f>'MEMÓRIA DE CÁLCULO'!Q82</f>
        <v>9</v>
      </c>
      <c r="G935" s="586"/>
      <c r="H935" s="588">
        <f>ROUND(SUM(H936:H941),2)</f>
        <v>73.27</v>
      </c>
      <c r="I935" s="588">
        <f>ROUND(SUM(I936:I941),2)</f>
        <v>75.22</v>
      </c>
      <c r="J935" s="589">
        <f>H935+I935</f>
        <v>148.49</v>
      </c>
      <c r="K935" s="587">
        <f>H935*F935</f>
        <v>659.43</v>
      </c>
      <c r="L935" s="588">
        <f>I935*F935</f>
        <v>676.98</v>
      </c>
      <c r="M935" s="589">
        <f>K935+L935</f>
        <v>1336.4099999999999</v>
      </c>
      <c r="N935" s="585">
        <f>M935*$N$7</f>
        <v>328.22229599999997</v>
      </c>
      <c r="O935" s="585">
        <f>ROUND(M935+N935,2)</f>
        <v>1664.63</v>
      </c>
    </row>
    <row r="936" spans="1:15" s="379" customFormat="1" ht="24" customHeight="1" x14ac:dyDescent="0.25">
      <c r="A936" s="362"/>
      <c r="B936" s="363"/>
      <c r="C936" s="364"/>
      <c r="D936" s="380" t="s">
        <v>228</v>
      </c>
      <c r="E936" s="364" t="s">
        <v>229</v>
      </c>
      <c r="F936" s="367">
        <v>3.5</v>
      </c>
      <c r="G936" s="35">
        <v>8.92</v>
      </c>
      <c r="H936" s="385"/>
      <c r="I936" s="386">
        <f>F936*G936</f>
        <v>31.22</v>
      </c>
      <c r="J936" s="387"/>
      <c r="K936" s="374"/>
      <c r="L936" s="375"/>
      <c r="M936" s="376"/>
      <c r="N936" s="377"/>
      <c r="O936" s="378"/>
    </row>
    <row r="937" spans="1:15" s="379" customFormat="1" ht="11.25" x14ac:dyDescent="0.25">
      <c r="A937" s="362"/>
      <c r="B937" s="363"/>
      <c r="C937" s="364"/>
      <c r="D937" s="380" t="s">
        <v>230</v>
      </c>
      <c r="E937" s="364" t="s">
        <v>229</v>
      </c>
      <c r="F937" s="367">
        <v>3.5</v>
      </c>
      <c r="G937" s="35">
        <v>12.57</v>
      </c>
      <c r="H937" s="385"/>
      <c r="I937" s="386">
        <f>F937*G937</f>
        <v>43.995000000000005</v>
      </c>
      <c r="J937" s="387"/>
      <c r="K937" s="374"/>
      <c r="L937" s="375"/>
      <c r="M937" s="376"/>
      <c r="N937" s="377"/>
      <c r="O937" s="378"/>
    </row>
    <row r="938" spans="1:15" s="369" customFormat="1" ht="11.25" x14ac:dyDescent="0.25">
      <c r="A938" s="362"/>
      <c r="B938" s="363"/>
      <c r="C938" s="364"/>
      <c r="D938" s="380" t="s">
        <v>473</v>
      </c>
      <c r="E938" s="364" t="s">
        <v>227</v>
      </c>
      <c r="F938" s="367">
        <v>1</v>
      </c>
      <c r="G938" s="371">
        <v>8.14</v>
      </c>
      <c r="H938" s="385">
        <f>F938*G938</f>
        <v>8.14</v>
      </c>
      <c r="I938" s="386"/>
      <c r="J938" s="387"/>
      <c r="K938" s="374"/>
      <c r="L938" s="375"/>
      <c r="M938" s="376"/>
      <c r="N938" s="377"/>
      <c r="O938" s="378"/>
    </row>
    <row r="939" spans="1:15" s="369" customFormat="1" ht="11.25" x14ac:dyDescent="0.25">
      <c r="A939" s="362"/>
      <c r="B939" s="363"/>
      <c r="C939" s="364"/>
      <c r="D939" s="380" t="s">
        <v>474</v>
      </c>
      <c r="E939" s="364" t="s">
        <v>248</v>
      </c>
      <c r="F939" s="367">
        <v>6</v>
      </c>
      <c r="G939" s="371">
        <v>7.19</v>
      </c>
      <c r="H939" s="385">
        <f>F939*G939</f>
        <v>43.14</v>
      </c>
      <c r="I939" s="386"/>
      <c r="J939" s="387"/>
      <c r="K939" s="374"/>
      <c r="L939" s="375"/>
      <c r="M939" s="376"/>
      <c r="N939" s="377"/>
      <c r="O939" s="378"/>
    </row>
    <row r="940" spans="1:15" s="369" customFormat="1" ht="22.5" x14ac:dyDescent="0.25">
      <c r="A940" s="362"/>
      <c r="B940" s="363"/>
      <c r="C940" s="364"/>
      <c r="D940" s="380" t="s">
        <v>475</v>
      </c>
      <c r="E940" s="364" t="s">
        <v>227</v>
      </c>
      <c r="F940" s="367">
        <v>1</v>
      </c>
      <c r="G940" s="371">
        <v>12.83</v>
      </c>
      <c r="H940" s="385">
        <f>F940*G940</f>
        <v>12.83</v>
      </c>
      <c r="I940" s="386"/>
      <c r="J940" s="387"/>
      <c r="K940" s="374"/>
      <c r="L940" s="375"/>
      <c r="M940" s="376"/>
      <c r="N940" s="377"/>
      <c r="O940" s="378"/>
    </row>
    <row r="941" spans="1:15" s="369" customFormat="1" ht="22.5" x14ac:dyDescent="0.25">
      <c r="A941" s="362"/>
      <c r="B941" s="363"/>
      <c r="C941" s="364"/>
      <c r="D941" s="380" t="s">
        <v>476</v>
      </c>
      <c r="E941" s="364" t="s">
        <v>227</v>
      </c>
      <c r="F941" s="367">
        <v>2</v>
      </c>
      <c r="G941" s="371">
        <v>4.58</v>
      </c>
      <c r="H941" s="385">
        <f>F941*G941</f>
        <v>9.16</v>
      </c>
      <c r="I941" s="386"/>
      <c r="J941" s="387"/>
      <c r="K941" s="374"/>
      <c r="L941" s="375"/>
      <c r="M941" s="376"/>
      <c r="N941" s="377"/>
      <c r="O941" s="378"/>
    </row>
    <row r="942" spans="1:15" s="369" customFormat="1" ht="11.25" x14ac:dyDescent="0.25">
      <c r="A942" s="362"/>
      <c r="B942" s="363"/>
      <c r="C942" s="364"/>
      <c r="D942" s="363"/>
      <c r="E942" s="364"/>
      <c r="F942" s="367"/>
      <c r="G942" s="367"/>
      <c r="H942" s="367"/>
      <c r="I942" s="393"/>
      <c r="J942" s="394"/>
      <c r="K942" s="364"/>
      <c r="L942" s="388"/>
      <c r="M942" s="389"/>
      <c r="N942" s="390"/>
      <c r="O942" s="363"/>
    </row>
    <row r="943" spans="1:15" s="25" customFormat="1" ht="14.25" x14ac:dyDescent="0.2">
      <c r="A943" s="581" t="s">
        <v>225</v>
      </c>
      <c r="B943" s="582" t="s">
        <v>477</v>
      </c>
      <c r="C943" s="583" t="s">
        <v>810</v>
      </c>
      <c r="D943" s="584" t="s">
        <v>710</v>
      </c>
      <c r="E943" s="583" t="s">
        <v>227</v>
      </c>
      <c r="F943" s="585">
        <f>'MEMÓRIA DE CÁLCULO'!R82</f>
        <v>11</v>
      </c>
      <c r="G943" s="586"/>
      <c r="H943" s="588">
        <f>ROUND(SUM(H944:H949),2)</f>
        <v>35.56</v>
      </c>
      <c r="I943" s="588">
        <f>ROUND(SUM(I944:I949),2)</f>
        <v>64.47</v>
      </c>
      <c r="J943" s="589">
        <f>H943+I943</f>
        <v>100.03</v>
      </c>
      <c r="K943" s="587">
        <f>H943*F943</f>
        <v>391.16</v>
      </c>
      <c r="L943" s="588">
        <f>I943*F943</f>
        <v>709.17</v>
      </c>
      <c r="M943" s="589">
        <f>K943+L943</f>
        <v>1100.33</v>
      </c>
      <c r="N943" s="585">
        <f>M943*$N$7</f>
        <v>270.24104799999998</v>
      </c>
      <c r="O943" s="585">
        <f>ROUND(M943+N943,2)</f>
        <v>1370.57</v>
      </c>
    </row>
    <row r="944" spans="1:15" s="369" customFormat="1" ht="11.25" x14ac:dyDescent="0.25">
      <c r="A944" s="362"/>
      <c r="B944" s="363"/>
      <c r="C944" s="364"/>
      <c r="D944" s="380" t="s">
        <v>228</v>
      </c>
      <c r="E944" s="364" t="s">
        <v>229</v>
      </c>
      <c r="F944" s="367">
        <v>3</v>
      </c>
      <c r="G944" s="371">
        <v>8.92</v>
      </c>
      <c r="H944" s="385"/>
      <c r="I944" s="386">
        <f>F944*G944</f>
        <v>26.759999999999998</v>
      </c>
      <c r="J944" s="387"/>
      <c r="K944" s="374"/>
      <c r="L944" s="375"/>
      <c r="M944" s="376"/>
      <c r="N944" s="377"/>
      <c r="O944" s="378"/>
    </row>
    <row r="945" spans="1:15" s="369" customFormat="1" ht="11.25" x14ac:dyDescent="0.25">
      <c r="A945" s="362"/>
      <c r="B945" s="363"/>
      <c r="C945" s="364"/>
      <c r="D945" s="380" t="s">
        <v>230</v>
      </c>
      <c r="E945" s="364" t="s">
        <v>229</v>
      </c>
      <c r="F945" s="367">
        <v>3</v>
      </c>
      <c r="G945" s="371">
        <v>12.57</v>
      </c>
      <c r="H945" s="385"/>
      <c r="I945" s="386">
        <f>F945*G945</f>
        <v>37.71</v>
      </c>
      <c r="J945" s="387"/>
      <c r="K945" s="374"/>
      <c r="L945" s="375"/>
      <c r="M945" s="376"/>
      <c r="N945" s="377"/>
      <c r="O945" s="378"/>
    </row>
    <row r="946" spans="1:15" s="369" customFormat="1" ht="15" customHeight="1" x14ac:dyDescent="0.25">
      <c r="A946" s="362"/>
      <c r="B946" s="363"/>
      <c r="C946" s="364"/>
      <c r="D946" s="380" t="s">
        <v>479</v>
      </c>
      <c r="E946" s="364" t="s">
        <v>248</v>
      </c>
      <c r="F946" s="367">
        <v>6</v>
      </c>
      <c r="G946" s="371">
        <v>3.62</v>
      </c>
      <c r="H946" s="385">
        <f>F946*G946</f>
        <v>21.72</v>
      </c>
      <c r="I946" s="386"/>
      <c r="J946" s="387"/>
      <c r="K946" s="374"/>
      <c r="L946" s="375"/>
      <c r="M946" s="376"/>
      <c r="N946" s="377"/>
      <c r="O946" s="378"/>
    </row>
    <row r="947" spans="1:15" s="369" customFormat="1" ht="15" customHeight="1" x14ac:dyDescent="0.25">
      <c r="A947" s="362"/>
      <c r="B947" s="363"/>
      <c r="C947" s="364"/>
      <c r="D947" s="380" t="s">
        <v>480</v>
      </c>
      <c r="E947" s="364" t="s">
        <v>227</v>
      </c>
      <c r="F947" s="367">
        <v>1</v>
      </c>
      <c r="G947" s="371">
        <v>8.3800000000000008</v>
      </c>
      <c r="H947" s="385">
        <f>F947*G947</f>
        <v>8.3800000000000008</v>
      </c>
      <c r="I947" s="386"/>
      <c r="J947" s="387"/>
      <c r="K947" s="374"/>
      <c r="L947" s="375"/>
      <c r="M947" s="376"/>
      <c r="N947" s="377"/>
      <c r="O947" s="378"/>
    </row>
    <row r="948" spans="1:15" s="369" customFormat="1" ht="22.5" x14ac:dyDescent="0.25">
      <c r="A948" s="362"/>
      <c r="B948" s="363"/>
      <c r="C948" s="364"/>
      <c r="D948" s="380" t="s">
        <v>481</v>
      </c>
      <c r="E948" s="364" t="s">
        <v>227</v>
      </c>
      <c r="F948" s="367">
        <v>1</v>
      </c>
      <c r="G948" s="381">
        <v>2.82</v>
      </c>
      <c r="H948" s="385">
        <f>F948*G948</f>
        <v>2.82</v>
      </c>
      <c r="I948" s="386"/>
      <c r="J948" s="387"/>
      <c r="K948" s="374"/>
      <c r="L948" s="375"/>
      <c r="M948" s="376"/>
      <c r="N948" s="377"/>
      <c r="O948" s="378"/>
    </row>
    <row r="949" spans="1:15" s="369" customFormat="1" ht="22.5" x14ac:dyDescent="0.25">
      <c r="A949" s="395"/>
      <c r="B949" s="380"/>
      <c r="C949" s="396"/>
      <c r="D949" s="380" t="s">
        <v>482</v>
      </c>
      <c r="E949" s="396" t="s">
        <v>227</v>
      </c>
      <c r="F949" s="367">
        <v>2</v>
      </c>
      <c r="G949" s="381">
        <v>1.32</v>
      </c>
      <c r="H949" s="385">
        <f>F949*G949</f>
        <v>2.64</v>
      </c>
      <c r="I949" s="393"/>
      <c r="J949" s="394"/>
      <c r="K949" s="396"/>
      <c r="L949" s="375"/>
      <c r="M949" s="376"/>
      <c r="N949" s="377"/>
      <c r="O949" s="378"/>
    </row>
    <row r="950" spans="1:15" s="369" customFormat="1" ht="15" customHeight="1" x14ac:dyDescent="0.25">
      <c r="A950" s="395"/>
      <c r="B950" s="380"/>
      <c r="C950" s="396"/>
      <c r="D950" s="380"/>
      <c r="E950" s="396"/>
      <c r="F950" s="367"/>
      <c r="G950" s="381"/>
      <c r="H950" s="397"/>
      <c r="I950" s="393"/>
      <c r="J950" s="394"/>
      <c r="K950" s="396"/>
      <c r="L950" s="372"/>
      <c r="M950" s="373"/>
      <c r="N950" s="398"/>
      <c r="O950" s="378"/>
    </row>
    <row r="951" spans="1:15" s="25" customFormat="1" ht="14.25" x14ac:dyDescent="0.2">
      <c r="A951" s="167"/>
      <c r="B951" s="149"/>
      <c r="C951" s="152"/>
      <c r="D951" s="154" t="s">
        <v>213</v>
      </c>
      <c r="E951" s="152"/>
      <c r="F951" s="113"/>
      <c r="G951" s="145"/>
      <c r="H951" s="127"/>
      <c r="I951" s="37"/>
      <c r="J951" s="128"/>
      <c r="K951" s="179"/>
      <c r="L951" s="37"/>
      <c r="M951" s="128"/>
      <c r="N951" s="113"/>
      <c r="O951" s="113"/>
    </row>
    <row r="952" spans="1:15" s="25" customFormat="1" ht="14.25" x14ac:dyDescent="0.2">
      <c r="A952" s="166"/>
      <c r="B952" s="160"/>
      <c r="C952" s="31"/>
      <c r="D952" s="146" t="s">
        <v>288</v>
      </c>
      <c r="E952" s="32"/>
      <c r="F952" s="147"/>
      <c r="G952" s="33"/>
      <c r="H952" s="129"/>
      <c r="I952" s="29"/>
      <c r="J952" s="130"/>
      <c r="K952" s="33"/>
      <c r="L952" s="33"/>
      <c r="M952" s="136"/>
      <c r="N952" s="115"/>
      <c r="O952" s="115"/>
    </row>
    <row r="953" spans="1:15" s="25" customFormat="1" ht="22.5" x14ac:dyDescent="0.2">
      <c r="A953" s="581" t="s">
        <v>277</v>
      </c>
      <c r="B953" s="582" t="s">
        <v>214</v>
      </c>
      <c r="C953" s="583" t="s">
        <v>811</v>
      </c>
      <c r="D953" s="584" t="s">
        <v>714</v>
      </c>
      <c r="E953" s="583" t="s">
        <v>281</v>
      </c>
      <c r="F953" s="585">
        <f>'MEMÓRIA DE CÁLCULO'!AK82</f>
        <v>1</v>
      </c>
      <c r="G953" s="586"/>
      <c r="H953" s="587">
        <v>100.95</v>
      </c>
      <c r="I953" s="588">
        <v>19.5</v>
      </c>
      <c r="J953" s="589">
        <f>H953+I953</f>
        <v>120.45</v>
      </c>
      <c r="K953" s="587">
        <f>H953*F953</f>
        <v>100.95</v>
      </c>
      <c r="L953" s="588">
        <f>I953*F953</f>
        <v>19.5</v>
      </c>
      <c r="M953" s="589">
        <f>K953+L953</f>
        <v>120.45</v>
      </c>
      <c r="N953" s="585">
        <f>M953*$N$7</f>
        <v>29.582520000000002</v>
      </c>
      <c r="O953" s="585">
        <f>ROUND(M953+N953,2)</f>
        <v>150.03</v>
      </c>
    </row>
    <row r="954" spans="1:15" s="25" customFormat="1" ht="14.25" x14ac:dyDescent="0.2">
      <c r="A954" s="166"/>
      <c r="B954" s="160"/>
      <c r="C954" s="31"/>
      <c r="D954" s="146" t="s">
        <v>288</v>
      </c>
      <c r="E954" s="32"/>
      <c r="F954" s="147"/>
      <c r="G954" s="33"/>
      <c r="H954" s="129"/>
      <c r="I954" s="29"/>
      <c r="J954" s="130"/>
      <c r="K954" s="33"/>
      <c r="L954" s="33"/>
      <c r="M954" s="136"/>
      <c r="N954" s="115"/>
      <c r="O954" s="115"/>
    </row>
    <row r="955" spans="1:15" s="25" customFormat="1" ht="22.5" x14ac:dyDescent="0.2">
      <c r="A955" s="581" t="s">
        <v>277</v>
      </c>
      <c r="B955" s="582" t="s">
        <v>215</v>
      </c>
      <c r="C955" s="583" t="s">
        <v>812</v>
      </c>
      <c r="D955" s="584" t="s">
        <v>715</v>
      </c>
      <c r="E955" s="583" t="s">
        <v>281</v>
      </c>
      <c r="F955" s="585">
        <f>'MEMÓRIA DE CÁLCULO'!AJ82</f>
        <v>7</v>
      </c>
      <c r="G955" s="586"/>
      <c r="H955" s="587">
        <v>53.08</v>
      </c>
      <c r="I955" s="588">
        <v>12.52</v>
      </c>
      <c r="J955" s="589">
        <f>H955+I955</f>
        <v>65.599999999999994</v>
      </c>
      <c r="K955" s="587">
        <f>H955*F955</f>
        <v>371.56</v>
      </c>
      <c r="L955" s="588">
        <f>I955*F955</f>
        <v>87.64</v>
      </c>
      <c r="M955" s="589">
        <f>K955+L955</f>
        <v>459.2</v>
      </c>
      <c r="N955" s="585">
        <f>M955*$N$7</f>
        <v>112.77952000000001</v>
      </c>
      <c r="O955" s="585">
        <f>ROUND(M955+N955,2)</f>
        <v>571.98</v>
      </c>
    </row>
    <row r="956" spans="1:15" s="25" customFormat="1" ht="14.25" x14ac:dyDescent="0.2">
      <c r="A956" s="166"/>
      <c r="B956" s="160"/>
      <c r="C956" s="31"/>
      <c r="D956" s="146" t="s">
        <v>288</v>
      </c>
      <c r="E956" s="32"/>
      <c r="F956" s="147"/>
      <c r="G956" s="33"/>
      <c r="H956" s="129"/>
      <c r="I956" s="29"/>
      <c r="J956" s="130"/>
      <c r="K956" s="33"/>
      <c r="L956" s="33"/>
      <c r="M956" s="136"/>
      <c r="N956" s="115"/>
      <c r="O956" s="115"/>
    </row>
    <row r="957" spans="1:15" s="25" customFormat="1" ht="14.25" x14ac:dyDescent="0.2">
      <c r="A957" s="167"/>
      <c r="B957" s="149"/>
      <c r="C957" s="152"/>
      <c r="D957" s="154" t="s">
        <v>224</v>
      </c>
      <c r="E957" s="152"/>
      <c r="F957" s="113"/>
      <c r="G957" s="145"/>
      <c r="H957" s="127"/>
      <c r="I957" s="37"/>
      <c r="J957" s="128"/>
      <c r="K957" s="179"/>
      <c r="L957" s="37"/>
      <c r="M957" s="128"/>
      <c r="N957" s="113"/>
      <c r="O957" s="113"/>
    </row>
    <row r="958" spans="1:15" s="25" customFormat="1" ht="14.25" x14ac:dyDescent="0.2">
      <c r="A958" s="166"/>
      <c r="B958" s="160"/>
      <c r="C958" s="31"/>
      <c r="D958" s="146"/>
      <c r="E958" s="32"/>
      <c r="F958" s="147"/>
      <c r="G958" s="33"/>
      <c r="H958" s="129"/>
      <c r="I958" s="29"/>
      <c r="J958" s="130"/>
      <c r="K958" s="33"/>
      <c r="L958" s="33"/>
      <c r="M958" s="136"/>
      <c r="N958" s="115"/>
      <c r="O958" s="115"/>
    </row>
    <row r="959" spans="1:15" s="25" customFormat="1" ht="22.5" x14ac:dyDescent="0.2">
      <c r="A959" s="581" t="s">
        <v>225</v>
      </c>
      <c r="B959" s="582" t="s">
        <v>142</v>
      </c>
      <c r="C959" s="583" t="s">
        <v>813</v>
      </c>
      <c r="D959" s="584" t="s">
        <v>719</v>
      </c>
      <c r="E959" s="583" t="s">
        <v>227</v>
      </c>
      <c r="F959" s="585">
        <f>'MEMÓRIA DE CÁLCULO'!U82</f>
        <v>1</v>
      </c>
      <c r="G959" s="586"/>
      <c r="H959" s="588">
        <f>ROUND(SUM(H960:H970),2)</f>
        <v>507.88</v>
      </c>
      <c r="I959" s="588">
        <f>ROUND(SUM(I960:I970),2)</f>
        <v>70.92</v>
      </c>
      <c r="J959" s="589">
        <f>H959+I959</f>
        <v>578.79999999999995</v>
      </c>
      <c r="K959" s="587">
        <f>H959*F959</f>
        <v>507.88</v>
      </c>
      <c r="L959" s="588">
        <f>I959*F959</f>
        <v>70.92</v>
      </c>
      <c r="M959" s="589">
        <f>K959+L959</f>
        <v>578.79999999999995</v>
      </c>
      <c r="N959" s="585">
        <f>M959*$N$7</f>
        <v>142.15328</v>
      </c>
      <c r="O959" s="585">
        <f>ROUND(M959+N959,2)</f>
        <v>720.95</v>
      </c>
    </row>
    <row r="960" spans="1:15" s="25" customFormat="1" ht="14.25" x14ac:dyDescent="0.2">
      <c r="A960" s="168"/>
      <c r="B960" s="159"/>
      <c r="C960" s="34"/>
      <c r="D960" s="153" t="s">
        <v>228</v>
      </c>
      <c r="E960" s="34" t="s">
        <v>229</v>
      </c>
      <c r="F960" s="148">
        <v>3.3</v>
      </c>
      <c r="G960" s="35">
        <v>8.92</v>
      </c>
      <c r="H960" s="131"/>
      <c r="I960" s="30">
        <f>F960*G960</f>
        <v>29.436</v>
      </c>
      <c r="J960" s="132"/>
      <c r="K960" s="35"/>
      <c r="L960" s="35"/>
      <c r="M960" s="134"/>
      <c r="N960" s="114"/>
      <c r="O960" s="114"/>
    </row>
    <row r="961" spans="1:15" s="25" customFormat="1" ht="14.25" x14ac:dyDescent="0.2">
      <c r="A961" s="168"/>
      <c r="B961" s="159"/>
      <c r="C961" s="34"/>
      <c r="D961" s="153" t="s">
        <v>230</v>
      </c>
      <c r="E961" s="34" t="s">
        <v>229</v>
      </c>
      <c r="F961" s="148">
        <v>3.3</v>
      </c>
      <c r="G961" s="35">
        <v>12.57</v>
      </c>
      <c r="H961" s="131"/>
      <c r="I961" s="30">
        <f>F961*G961</f>
        <v>41.481000000000002</v>
      </c>
      <c r="J961" s="132"/>
      <c r="K961" s="35"/>
      <c r="L961" s="35"/>
      <c r="M961" s="134"/>
      <c r="N961" s="114"/>
      <c r="O961" s="114"/>
    </row>
    <row r="962" spans="1:15" s="25" customFormat="1" ht="22.5" x14ac:dyDescent="0.2">
      <c r="A962" s="168"/>
      <c r="B962" s="159"/>
      <c r="C962" s="34"/>
      <c r="D962" s="153" t="s">
        <v>231</v>
      </c>
      <c r="E962" s="34" t="s">
        <v>227</v>
      </c>
      <c r="F962" s="148">
        <v>1</v>
      </c>
      <c r="G962" s="35">
        <v>4.58</v>
      </c>
      <c r="H962" s="131">
        <f t="shared" ref="H962:H970" si="9">F962*G962</f>
        <v>4.58</v>
      </c>
      <c r="I962" s="30"/>
      <c r="J962" s="132"/>
      <c r="K962" s="35"/>
      <c r="L962" s="35"/>
      <c r="M962" s="134"/>
      <c r="N962" s="114"/>
      <c r="O962" s="114"/>
    </row>
    <row r="963" spans="1:15" s="25" customFormat="1" ht="14.25" x14ac:dyDescent="0.2">
      <c r="A963" s="168"/>
      <c r="B963" s="159"/>
      <c r="C963" s="85" t="s">
        <v>203</v>
      </c>
      <c r="D963" s="153" t="s">
        <v>147</v>
      </c>
      <c r="E963" s="34" t="s">
        <v>227</v>
      </c>
      <c r="F963" s="148">
        <v>1</v>
      </c>
      <c r="G963" s="35">
        <v>102.02</v>
      </c>
      <c r="H963" s="131">
        <f t="shared" si="9"/>
        <v>102.02</v>
      </c>
      <c r="I963" s="30"/>
      <c r="J963" s="132"/>
      <c r="K963" s="35"/>
      <c r="L963" s="35"/>
      <c r="M963" s="134"/>
      <c r="N963" s="114"/>
      <c r="O963" s="114"/>
    </row>
    <row r="964" spans="1:15" s="25" customFormat="1" ht="14.25" x14ac:dyDescent="0.2">
      <c r="A964" s="168"/>
      <c r="B964" s="159"/>
      <c r="C964" s="34"/>
      <c r="D964" s="153" t="s">
        <v>143</v>
      </c>
      <c r="E964" s="34" t="s">
        <v>227</v>
      </c>
      <c r="F964" s="148">
        <v>1</v>
      </c>
      <c r="G964" s="35">
        <v>5.88</v>
      </c>
      <c r="H964" s="131">
        <f t="shared" si="9"/>
        <v>5.88</v>
      </c>
      <c r="I964" s="30"/>
      <c r="J964" s="132"/>
      <c r="K964" s="35"/>
      <c r="L964" s="35"/>
      <c r="M964" s="134"/>
      <c r="N964" s="114"/>
      <c r="O964" s="114"/>
    </row>
    <row r="965" spans="1:15" s="25" customFormat="1" ht="22.5" x14ac:dyDescent="0.2">
      <c r="A965" s="168"/>
      <c r="B965" s="159"/>
      <c r="C965" s="34"/>
      <c r="D965" s="153" t="s">
        <v>144</v>
      </c>
      <c r="E965" s="34" t="s">
        <v>227</v>
      </c>
      <c r="F965" s="148">
        <v>1</v>
      </c>
      <c r="G965" s="35">
        <v>25.92</v>
      </c>
      <c r="H965" s="131">
        <f t="shared" si="9"/>
        <v>25.92</v>
      </c>
      <c r="I965" s="30"/>
      <c r="J965" s="132"/>
      <c r="K965" s="35"/>
      <c r="L965" s="35"/>
      <c r="M965" s="134"/>
      <c r="N965" s="114"/>
      <c r="O965" s="114"/>
    </row>
    <row r="966" spans="1:15" s="25" customFormat="1" ht="14.25" x14ac:dyDescent="0.2">
      <c r="A966" s="168"/>
      <c r="B966" s="159"/>
      <c r="C966" s="34"/>
      <c r="D966" s="153" t="s">
        <v>145</v>
      </c>
      <c r="E966" s="34" t="s">
        <v>227</v>
      </c>
      <c r="F966" s="148">
        <v>1</v>
      </c>
      <c r="G966" s="35">
        <v>1.92</v>
      </c>
      <c r="H966" s="131">
        <f t="shared" si="9"/>
        <v>1.92</v>
      </c>
      <c r="I966" s="30"/>
      <c r="J966" s="132"/>
      <c r="K966" s="35"/>
      <c r="L966" s="35"/>
      <c r="M966" s="134"/>
      <c r="N966" s="114"/>
      <c r="O966" s="114"/>
    </row>
    <row r="967" spans="1:15" s="25" customFormat="1" ht="14.25" x14ac:dyDescent="0.2">
      <c r="A967" s="168"/>
      <c r="B967" s="159"/>
      <c r="C967" s="85" t="s">
        <v>203</v>
      </c>
      <c r="D967" s="153" t="s">
        <v>146</v>
      </c>
      <c r="E967" s="34" t="s">
        <v>227</v>
      </c>
      <c r="F967" s="148">
        <v>1</v>
      </c>
      <c r="G967" s="35">
        <v>362</v>
      </c>
      <c r="H967" s="131">
        <f t="shared" si="9"/>
        <v>362</v>
      </c>
      <c r="I967" s="30"/>
      <c r="J967" s="132"/>
      <c r="K967" s="35"/>
      <c r="L967" s="35"/>
      <c r="M967" s="134"/>
      <c r="N967" s="114"/>
      <c r="O967" s="114"/>
    </row>
    <row r="968" spans="1:15" s="25" customFormat="1" ht="14.25" x14ac:dyDescent="0.2">
      <c r="A968" s="168"/>
      <c r="B968" s="159"/>
      <c r="C968" s="34"/>
      <c r="D968" s="153" t="s">
        <v>218</v>
      </c>
      <c r="E968" s="34" t="s">
        <v>237</v>
      </c>
      <c r="F968" s="148">
        <v>0.25</v>
      </c>
      <c r="G968" s="35">
        <v>2</v>
      </c>
      <c r="H968" s="131">
        <f t="shared" si="9"/>
        <v>0.5</v>
      </c>
      <c r="I968" s="30"/>
      <c r="J968" s="132"/>
      <c r="K968" s="35"/>
      <c r="L968" s="35"/>
      <c r="M968" s="134"/>
      <c r="N968" s="114"/>
      <c r="O968" s="114"/>
    </row>
    <row r="969" spans="1:15" s="25" customFormat="1" ht="14.25" x14ac:dyDescent="0.2">
      <c r="A969" s="168"/>
      <c r="B969" s="159"/>
      <c r="C969" s="34"/>
      <c r="D969" s="153" t="s">
        <v>232</v>
      </c>
      <c r="E969" s="34" t="s">
        <v>227</v>
      </c>
      <c r="F969" s="148">
        <v>2</v>
      </c>
      <c r="G969" s="35">
        <v>2.2000000000000002</v>
      </c>
      <c r="H969" s="131">
        <f t="shared" si="9"/>
        <v>4.4000000000000004</v>
      </c>
      <c r="I969" s="30"/>
      <c r="J969" s="132"/>
      <c r="K969" s="35"/>
      <c r="L969" s="35"/>
      <c r="M969" s="134"/>
      <c r="N969" s="114"/>
      <c r="O969" s="114"/>
    </row>
    <row r="970" spans="1:15" s="25" customFormat="1" ht="33.75" x14ac:dyDescent="0.2">
      <c r="A970" s="168"/>
      <c r="B970" s="159"/>
      <c r="C970" s="34"/>
      <c r="D970" s="153" t="s">
        <v>235</v>
      </c>
      <c r="E970" s="34" t="s">
        <v>227</v>
      </c>
      <c r="F970" s="148">
        <v>2</v>
      </c>
      <c r="G970" s="35">
        <v>0.33</v>
      </c>
      <c r="H970" s="131">
        <f t="shared" si="9"/>
        <v>0.66</v>
      </c>
      <c r="I970" s="30"/>
      <c r="J970" s="132"/>
      <c r="K970" s="35"/>
      <c r="L970" s="35"/>
      <c r="M970" s="134"/>
      <c r="N970" s="114"/>
      <c r="O970" s="114"/>
    </row>
    <row r="971" spans="1:15" s="25" customFormat="1" ht="14.25" x14ac:dyDescent="0.2">
      <c r="A971" s="168"/>
      <c r="B971" s="159"/>
      <c r="C971" s="34"/>
      <c r="D971" s="153"/>
      <c r="E971" s="34"/>
      <c r="F971" s="148"/>
      <c r="G971" s="35"/>
      <c r="H971" s="131"/>
      <c r="I971" s="30"/>
      <c r="J971" s="132"/>
      <c r="K971" s="35"/>
      <c r="L971" s="35"/>
      <c r="M971" s="134"/>
      <c r="N971" s="114"/>
      <c r="O971" s="114"/>
    </row>
    <row r="972" spans="1:15" s="25" customFormat="1" ht="22.5" x14ac:dyDescent="0.2">
      <c r="A972" s="581" t="s">
        <v>225</v>
      </c>
      <c r="B972" s="582" t="s">
        <v>226</v>
      </c>
      <c r="C972" s="583" t="s">
        <v>814</v>
      </c>
      <c r="D972" s="584" t="s">
        <v>720</v>
      </c>
      <c r="E972" s="583" t="s">
        <v>227</v>
      </c>
      <c r="F972" s="585">
        <f>'MEMÓRIA DE CÁLCULO'!S82</f>
        <v>8</v>
      </c>
      <c r="G972" s="586"/>
      <c r="H972" s="588">
        <f>ROUND(SUM(H973:H983),2)</f>
        <v>355.03</v>
      </c>
      <c r="I972" s="588">
        <f>ROUND(SUM(I973:I983),2)</f>
        <v>64.47</v>
      </c>
      <c r="J972" s="589">
        <f>H972+I972</f>
        <v>419.5</v>
      </c>
      <c r="K972" s="587">
        <f>H972*F972</f>
        <v>2840.24</v>
      </c>
      <c r="L972" s="588">
        <f>I972*F972</f>
        <v>515.76</v>
      </c>
      <c r="M972" s="589">
        <f>K972+L972</f>
        <v>3356</v>
      </c>
      <c r="N972" s="585">
        <f>M972*$N$7</f>
        <v>824.23360000000002</v>
      </c>
      <c r="O972" s="585">
        <f>ROUND(M972+N972,2)</f>
        <v>4180.2299999999996</v>
      </c>
    </row>
    <row r="973" spans="1:15" s="25" customFormat="1" ht="14.25" x14ac:dyDescent="0.2">
      <c r="A973" s="168"/>
      <c r="B973" s="159"/>
      <c r="C973" s="34"/>
      <c r="D973" s="153" t="s">
        <v>228</v>
      </c>
      <c r="E973" s="34" t="s">
        <v>229</v>
      </c>
      <c r="F973" s="148">
        <v>3</v>
      </c>
      <c r="G973" s="35">
        <v>8.92</v>
      </c>
      <c r="H973" s="131"/>
      <c r="I973" s="30">
        <f>F973*G973</f>
        <v>26.759999999999998</v>
      </c>
      <c r="J973" s="132"/>
      <c r="K973" s="35"/>
      <c r="L973" s="35"/>
      <c r="M973" s="134"/>
      <c r="N973" s="114"/>
      <c r="O973" s="114"/>
    </row>
    <row r="974" spans="1:15" s="25" customFormat="1" ht="14.25" x14ac:dyDescent="0.2">
      <c r="A974" s="168"/>
      <c r="B974" s="159"/>
      <c r="C974" s="34"/>
      <c r="D974" s="153" t="s">
        <v>230</v>
      </c>
      <c r="E974" s="34" t="s">
        <v>229</v>
      </c>
      <c r="F974" s="148">
        <v>3</v>
      </c>
      <c r="G974" s="35">
        <v>12.57</v>
      </c>
      <c r="H974" s="131"/>
      <c r="I974" s="30">
        <f>F974*G974</f>
        <v>37.71</v>
      </c>
      <c r="J974" s="132"/>
      <c r="K974" s="35"/>
      <c r="L974" s="35"/>
      <c r="M974" s="134"/>
      <c r="N974" s="114"/>
      <c r="O974" s="114"/>
    </row>
    <row r="975" spans="1:15" s="25" customFormat="1" ht="14.25" x14ac:dyDescent="0.2">
      <c r="A975" s="168"/>
      <c r="B975" s="159"/>
      <c r="C975" s="85" t="s">
        <v>203</v>
      </c>
      <c r="D975" s="153" t="s">
        <v>148</v>
      </c>
      <c r="E975" s="34" t="s">
        <v>227</v>
      </c>
      <c r="F975" s="148">
        <v>1</v>
      </c>
      <c r="G975" s="35">
        <v>149.9</v>
      </c>
      <c r="H975" s="131">
        <f>F975*G975</f>
        <v>149.9</v>
      </c>
      <c r="I975" s="30"/>
      <c r="J975" s="132"/>
      <c r="K975" s="35"/>
      <c r="L975" s="35"/>
      <c r="M975" s="134"/>
      <c r="N975" s="114"/>
      <c r="O975" s="114"/>
    </row>
    <row r="976" spans="1:15" s="25" customFormat="1" ht="22.5" x14ac:dyDescent="0.2">
      <c r="A976" s="168"/>
      <c r="B976" s="159"/>
      <c r="C976" s="34"/>
      <c r="D976" s="153" t="s">
        <v>231</v>
      </c>
      <c r="E976" s="34" t="s">
        <v>227</v>
      </c>
      <c r="F976" s="148">
        <v>1</v>
      </c>
      <c r="G976" s="35">
        <v>4.32</v>
      </c>
      <c r="H976" s="131">
        <f t="shared" ref="H976:H983" si="10">F976*G976</f>
        <v>4.32</v>
      </c>
      <c r="I976" s="30"/>
      <c r="J976" s="132"/>
      <c r="K976" s="35"/>
      <c r="L976" s="35"/>
      <c r="M976" s="134"/>
      <c r="N976" s="114"/>
      <c r="O976" s="114"/>
    </row>
    <row r="977" spans="1:15" s="25" customFormat="1" ht="14.25" x14ac:dyDescent="0.2">
      <c r="A977" s="168"/>
      <c r="B977" s="159"/>
      <c r="C977" s="34"/>
      <c r="D977" s="153" t="s">
        <v>232</v>
      </c>
      <c r="E977" s="34" t="s">
        <v>227</v>
      </c>
      <c r="F977" s="148">
        <v>2</v>
      </c>
      <c r="G977" s="35">
        <v>2.2000000000000002</v>
      </c>
      <c r="H977" s="131">
        <f t="shared" si="10"/>
        <v>4.4000000000000004</v>
      </c>
      <c r="I977" s="30"/>
      <c r="J977" s="132"/>
      <c r="K977" s="35"/>
      <c r="L977" s="35"/>
      <c r="M977" s="134"/>
      <c r="N977" s="114"/>
      <c r="O977" s="114"/>
    </row>
    <row r="978" spans="1:15" s="25" customFormat="1" ht="14.25" x14ac:dyDescent="0.2">
      <c r="A978" s="168"/>
      <c r="B978" s="159"/>
      <c r="C978" s="85" t="s">
        <v>203</v>
      </c>
      <c r="D978" s="153" t="s">
        <v>233</v>
      </c>
      <c r="E978" s="34" t="s">
        <v>227</v>
      </c>
      <c r="F978" s="148">
        <v>1</v>
      </c>
      <c r="G978" s="35">
        <v>73.400000000000006</v>
      </c>
      <c r="H978" s="131">
        <f t="shared" si="10"/>
        <v>73.400000000000006</v>
      </c>
      <c r="I978" s="30"/>
      <c r="J978" s="132"/>
      <c r="K978" s="35"/>
      <c r="L978" s="35"/>
      <c r="M978" s="134"/>
      <c r="N978" s="114"/>
      <c r="O978" s="114"/>
    </row>
    <row r="979" spans="1:15" s="25" customFormat="1" ht="22.5" x14ac:dyDescent="0.2">
      <c r="A979" s="168"/>
      <c r="B979" s="159"/>
      <c r="C979" s="34"/>
      <c r="D979" s="153" t="s">
        <v>234</v>
      </c>
      <c r="E979" s="34" t="s">
        <v>227</v>
      </c>
      <c r="F979" s="148">
        <v>1</v>
      </c>
      <c r="G979" s="35">
        <v>2.4</v>
      </c>
      <c r="H979" s="131">
        <f t="shared" si="10"/>
        <v>2.4</v>
      </c>
      <c r="I979" s="30"/>
      <c r="J979" s="132"/>
      <c r="K979" s="35"/>
      <c r="L979" s="35"/>
      <c r="M979" s="134"/>
      <c r="N979" s="114"/>
      <c r="O979" s="114"/>
    </row>
    <row r="980" spans="1:15" s="25" customFormat="1" ht="33.75" x14ac:dyDescent="0.2">
      <c r="A980" s="168"/>
      <c r="B980" s="159"/>
      <c r="C980" s="34"/>
      <c r="D980" s="153" t="s">
        <v>235</v>
      </c>
      <c r="E980" s="34" t="s">
        <v>227</v>
      </c>
      <c r="F980" s="148">
        <v>2</v>
      </c>
      <c r="G980" s="35">
        <v>0.17</v>
      </c>
      <c r="H980" s="131">
        <f t="shared" si="10"/>
        <v>0.34</v>
      </c>
      <c r="I980" s="30"/>
      <c r="J980" s="132"/>
      <c r="K980" s="35"/>
      <c r="L980" s="35"/>
      <c r="M980" s="134"/>
      <c r="N980" s="114"/>
      <c r="O980" s="114"/>
    </row>
    <row r="981" spans="1:15" s="25" customFormat="1" ht="14.25" x14ac:dyDescent="0.2">
      <c r="A981" s="168"/>
      <c r="B981" s="159"/>
      <c r="C981" s="85" t="s">
        <v>203</v>
      </c>
      <c r="D981" s="153" t="s">
        <v>236</v>
      </c>
      <c r="E981" s="34" t="s">
        <v>227</v>
      </c>
      <c r="F981" s="148">
        <v>1</v>
      </c>
      <c r="G981" s="35">
        <v>120</v>
      </c>
      <c r="H981" s="131">
        <f t="shared" si="10"/>
        <v>120</v>
      </c>
      <c r="I981" s="30"/>
      <c r="J981" s="132"/>
      <c r="K981" s="35"/>
      <c r="L981" s="35"/>
      <c r="M981" s="134"/>
      <c r="N981" s="114"/>
      <c r="O981" s="114"/>
    </row>
    <row r="982" spans="1:15" s="25" customFormat="1" ht="14.25" x14ac:dyDescent="0.2">
      <c r="A982" s="168"/>
      <c r="B982" s="159"/>
      <c r="C982" s="34"/>
      <c r="D982" s="153" t="s">
        <v>218</v>
      </c>
      <c r="E982" s="34" t="s">
        <v>237</v>
      </c>
      <c r="F982" s="148">
        <v>0.1</v>
      </c>
      <c r="G982" s="35">
        <v>2</v>
      </c>
      <c r="H982" s="131">
        <f t="shared" si="10"/>
        <v>0.2</v>
      </c>
      <c r="I982" s="30"/>
      <c r="J982" s="132"/>
      <c r="K982" s="35"/>
      <c r="L982" s="35"/>
      <c r="M982" s="134"/>
      <c r="N982" s="114"/>
      <c r="O982" s="114"/>
    </row>
    <row r="983" spans="1:15" s="25" customFormat="1" ht="22.5" x14ac:dyDescent="0.2">
      <c r="A983" s="168"/>
      <c r="B983" s="159"/>
      <c r="C983" s="34"/>
      <c r="D983" s="153" t="s">
        <v>217</v>
      </c>
      <c r="E983" s="34" t="s">
        <v>227</v>
      </c>
      <c r="F983" s="148">
        <v>0.56000000000000005</v>
      </c>
      <c r="G983" s="35">
        <v>0.13</v>
      </c>
      <c r="H983" s="131">
        <f t="shared" si="10"/>
        <v>7.2800000000000004E-2</v>
      </c>
      <c r="I983" s="30"/>
      <c r="J983" s="132"/>
      <c r="K983" s="35"/>
      <c r="L983" s="35"/>
      <c r="M983" s="134"/>
      <c r="N983" s="114"/>
      <c r="O983" s="114"/>
    </row>
    <row r="984" spans="1:15" s="25" customFormat="1" ht="14.25" x14ac:dyDescent="0.2">
      <c r="A984" s="168"/>
      <c r="B984" s="159"/>
      <c r="C984" s="34"/>
      <c r="D984" s="153"/>
      <c r="E984" s="34"/>
      <c r="F984" s="148"/>
      <c r="G984" s="35"/>
      <c r="H984" s="131"/>
      <c r="I984" s="30"/>
      <c r="J984" s="132"/>
      <c r="K984" s="35"/>
      <c r="L984" s="35"/>
      <c r="M984" s="134"/>
      <c r="N984" s="114"/>
      <c r="O984" s="114"/>
    </row>
    <row r="985" spans="1:15" s="25" customFormat="1" ht="33.75" x14ac:dyDescent="0.2">
      <c r="A985" s="581" t="s">
        <v>225</v>
      </c>
      <c r="B985" s="582" t="s">
        <v>238</v>
      </c>
      <c r="C985" s="583" t="s">
        <v>815</v>
      </c>
      <c r="D985" s="584" t="s">
        <v>721</v>
      </c>
      <c r="E985" s="583" t="s">
        <v>227</v>
      </c>
      <c r="F985" s="585">
        <f>'MEMÓRIA DE CÁLCULO'!T82</f>
        <v>8</v>
      </c>
      <c r="G985" s="586"/>
      <c r="H985" s="588">
        <f>ROUND(SUM(H986:H996),2)</f>
        <v>263.60000000000002</v>
      </c>
      <c r="I985" s="588">
        <f>ROUND(SUM(I986:I996),2)</f>
        <v>70.92</v>
      </c>
      <c r="J985" s="589">
        <f>H985+I985</f>
        <v>334.52000000000004</v>
      </c>
      <c r="K985" s="587">
        <f>H985*F985</f>
        <v>2108.8000000000002</v>
      </c>
      <c r="L985" s="588">
        <f>I985*F985</f>
        <v>567.36</v>
      </c>
      <c r="M985" s="589">
        <f>K985+L985</f>
        <v>2676.1600000000003</v>
      </c>
      <c r="N985" s="585">
        <f>M985*$N$7</f>
        <v>657.26489600000014</v>
      </c>
      <c r="O985" s="585">
        <f>ROUND(M985+N985,2)</f>
        <v>3333.42</v>
      </c>
    </row>
    <row r="986" spans="1:15" s="25" customFormat="1" ht="14.25" x14ac:dyDescent="0.2">
      <c r="A986" s="168"/>
      <c r="B986" s="159"/>
      <c r="C986" s="34"/>
      <c r="D986" s="153" t="s">
        <v>228</v>
      </c>
      <c r="E986" s="34" t="s">
        <v>229</v>
      </c>
      <c r="F986" s="148">
        <v>3.3</v>
      </c>
      <c r="G986" s="35">
        <v>8.92</v>
      </c>
      <c r="H986" s="131"/>
      <c r="I986" s="30">
        <f>F986*G986</f>
        <v>29.436</v>
      </c>
      <c r="J986" s="132"/>
      <c r="K986" s="35"/>
      <c r="L986" s="35"/>
      <c r="M986" s="134"/>
      <c r="N986" s="114"/>
      <c r="O986" s="114"/>
    </row>
    <row r="987" spans="1:15" s="25" customFormat="1" ht="14.25" x14ac:dyDescent="0.2">
      <c r="A987" s="168"/>
      <c r="B987" s="159"/>
      <c r="C987" s="34"/>
      <c r="D987" s="153" t="s">
        <v>230</v>
      </c>
      <c r="E987" s="34" t="s">
        <v>229</v>
      </c>
      <c r="F987" s="148">
        <v>3.3</v>
      </c>
      <c r="G987" s="35">
        <v>12.57</v>
      </c>
      <c r="H987" s="131"/>
      <c r="I987" s="30">
        <f>F987*G987</f>
        <v>41.481000000000002</v>
      </c>
      <c r="J987" s="132"/>
      <c r="K987" s="35"/>
      <c r="L987" s="35"/>
      <c r="M987" s="134"/>
      <c r="N987" s="114"/>
      <c r="O987" s="114"/>
    </row>
    <row r="988" spans="1:15" s="25" customFormat="1" ht="22.5" x14ac:dyDescent="0.2">
      <c r="A988" s="168"/>
      <c r="B988" s="159"/>
      <c r="C988" s="34"/>
      <c r="D988" s="153" t="s">
        <v>239</v>
      </c>
      <c r="E988" s="34" t="s">
        <v>227</v>
      </c>
      <c r="F988" s="148">
        <v>1</v>
      </c>
      <c r="G988" s="35">
        <v>19.53</v>
      </c>
      <c r="H988" s="131">
        <f>F988*G988</f>
        <v>19.53</v>
      </c>
      <c r="I988" s="30"/>
      <c r="J988" s="132"/>
      <c r="K988" s="35"/>
      <c r="L988" s="35"/>
      <c r="M988" s="134"/>
      <c r="N988" s="114"/>
      <c r="O988" s="114"/>
    </row>
    <row r="989" spans="1:15" s="25" customFormat="1" ht="14.25" x14ac:dyDescent="0.2">
      <c r="A989" s="168"/>
      <c r="B989" s="159"/>
      <c r="C989" s="85" t="s">
        <v>203</v>
      </c>
      <c r="D989" s="153" t="s">
        <v>149</v>
      </c>
      <c r="E989" s="34" t="s">
        <v>227</v>
      </c>
      <c r="F989" s="148">
        <v>1</v>
      </c>
      <c r="G989" s="35">
        <v>65.900000000000006</v>
      </c>
      <c r="H989" s="131">
        <f t="shared" ref="H989:H996" si="11">F989*G989</f>
        <v>65.900000000000006</v>
      </c>
      <c r="I989" s="30"/>
      <c r="J989" s="132"/>
      <c r="K989" s="35"/>
      <c r="L989" s="35"/>
      <c r="M989" s="134"/>
      <c r="N989" s="114"/>
      <c r="O989" s="114"/>
    </row>
    <row r="990" spans="1:15" s="25" customFormat="1" ht="22.5" x14ac:dyDescent="0.2">
      <c r="A990" s="168"/>
      <c r="B990" s="159"/>
      <c r="C990" s="34"/>
      <c r="D990" s="153" t="s">
        <v>240</v>
      </c>
      <c r="E990" s="34" t="s">
        <v>227</v>
      </c>
      <c r="F990" s="148">
        <v>1</v>
      </c>
      <c r="G990" s="35">
        <v>67.290000000000006</v>
      </c>
      <c r="H990" s="131">
        <f t="shared" si="11"/>
        <v>67.290000000000006</v>
      </c>
      <c r="I990" s="30"/>
      <c r="J990" s="132"/>
      <c r="K990" s="35"/>
      <c r="L990" s="35"/>
      <c r="M990" s="134"/>
      <c r="N990" s="114"/>
      <c r="O990" s="114"/>
    </row>
    <row r="991" spans="1:15" s="25" customFormat="1" ht="14.25" x14ac:dyDescent="0.2">
      <c r="A991" s="168"/>
      <c r="B991" s="159"/>
      <c r="C991" s="85" t="s">
        <v>203</v>
      </c>
      <c r="D991" s="153" t="s">
        <v>241</v>
      </c>
      <c r="E991" s="34" t="s">
        <v>227</v>
      </c>
      <c r="F991" s="148">
        <v>1</v>
      </c>
      <c r="G991" s="35">
        <v>87.9</v>
      </c>
      <c r="H991" s="131">
        <f t="shared" si="11"/>
        <v>87.9</v>
      </c>
      <c r="I991" s="30"/>
      <c r="J991" s="132"/>
      <c r="K991" s="35"/>
      <c r="L991" s="35"/>
      <c r="M991" s="134"/>
      <c r="N991" s="114"/>
      <c r="O991" s="114"/>
    </row>
    <row r="992" spans="1:15" s="25" customFormat="1" ht="22.5" x14ac:dyDescent="0.2">
      <c r="A992" s="168"/>
      <c r="B992" s="159"/>
      <c r="C992" s="34"/>
      <c r="D992" s="153" t="s">
        <v>242</v>
      </c>
      <c r="E992" s="34" t="s">
        <v>227</v>
      </c>
      <c r="F992" s="148">
        <v>1</v>
      </c>
      <c r="G992" s="35">
        <v>15.69</v>
      </c>
      <c r="H992" s="131">
        <f t="shared" si="11"/>
        <v>15.69</v>
      </c>
      <c r="I992" s="30"/>
      <c r="J992" s="132"/>
      <c r="K992" s="35"/>
      <c r="L992" s="35"/>
      <c r="M992" s="134"/>
      <c r="N992" s="114"/>
      <c r="O992" s="114"/>
    </row>
    <row r="993" spans="1:15" s="25" customFormat="1" ht="14.25" x14ac:dyDescent="0.2">
      <c r="A993" s="168"/>
      <c r="B993" s="159"/>
      <c r="C993" s="34"/>
      <c r="D993" s="153" t="s">
        <v>232</v>
      </c>
      <c r="E993" s="34" t="s">
        <v>227</v>
      </c>
      <c r="F993" s="148">
        <v>2</v>
      </c>
      <c r="G993" s="35">
        <v>2.2000000000000002</v>
      </c>
      <c r="H993" s="131">
        <f t="shared" si="11"/>
        <v>4.4000000000000004</v>
      </c>
      <c r="I993" s="30"/>
      <c r="J993" s="132"/>
      <c r="K993" s="35"/>
      <c r="L993" s="35"/>
      <c r="M993" s="134"/>
      <c r="N993" s="114"/>
      <c r="O993" s="114"/>
    </row>
    <row r="994" spans="1:15" s="25" customFormat="1" ht="22.5" x14ac:dyDescent="0.2">
      <c r="A994" s="168"/>
      <c r="B994" s="159"/>
      <c r="C994" s="34"/>
      <c r="D994" s="153" t="s">
        <v>234</v>
      </c>
      <c r="E994" s="34" t="s">
        <v>227</v>
      </c>
      <c r="F994" s="148">
        <v>1</v>
      </c>
      <c r="G994" s="35">
        <v>2.4</v>
      </c>
      <c r="H994" s="131">
        <f t="shared" si="11"/>
        <v>2.4</v>
      </c>
      <c r="I994" s="30"/>
      <c r="J994" s="132"/>
      <c r="K994" s="35"/>
      <c r="L994" s="35"/>
      <c r="M994" s="134"/>
      <c r="N994" s="114"/>
      <c r="O994" s="114"/>
    </row>
    <row r="995" spans="1:15" s="25" customFormat="1" ht="33.75" x14ac:dyDescent="0.2">
      <c r="A995" s="168"/>
      <c r="B995" s="159"/>
      <c r="C995" s="34"/>
      <c r="D995" s="153" t="s">
        <v>235</v>
      </c>
      <c r="E995" s="34" t="s">
        <v>227</v>
      </c>
      <c r="F995" s="148">
        <v>2</v>
      </c>
      <c r="G995" s="35">
        <v>0.17</v>
      </c>
      <c r="H995" s="131">
        <f t="shared" si="11"/>
        <v>0.34</v>
      </c>
      <c r="I995" s="30"/>
      <c r="J995" s="132"/>
      <c r="K995" s="35"/>
      <c r="L995" s="35"/>
      <c r="M995" s="134"/>
      <c r="N995" s="114"/>
      <c r="O995" s="114"/>
    </row>
    <row r="996" spans="1:15" s="25" customFormat="1" ht="22.5" x14ac:dyDescent="0.2">
      <c r="A996" s="168"/>
      <c r="B996" s="159"/>
      <c r="C996" s="34"/>
      <c r="D996" s="153" t="s">
        <v>217</v>
      </c>
      <c r="E996" s="34" t="s">
        <v>227</v>
      </c>
      <c r="F996" s="148">
        <v>1.1200000000000001</v>
      </c>
      <c r="G996" s="35">
        <v>0.13</v>
      </c>
      <c r="H996" s="131">
        <f t="shared" si="11"/>
        <v>0.14560000000000001</v>
      </c>
      <c r="I996" s="30"/>
      <c r="J996" s="132"/>
      <c r="K996" s="35"/>
      <c r="L996" s="35"/>
      <c r="M996" s="134"/>
      <c r="N996" s="114"/>
      <c r="O996" s="114"/>
    </row>
    <row r="997" spans="1:15" s="25" customFormat="1" ht="14.25" x14ac:dyDescent="0.2">
      <c r="A997" s="168"/>
      <c r="B997" s="159"/>
      <c r="C997" s="34"/>
      <c r="D997" s="153"/>
      <c r="E997" s="34"/>
      <c r="F997" s="148"/>
      <c r="G997" s="35"/>
      <c r="H997" s="131"/>
      <c r="I997" s="30"/>
      <c r="J997" s="132"/>
      <c r="K997" s="35"/>
      <c r="L997" s="35"/>
      <c r="M997" s="134"/>
      <c r="N997" s="114"/>
      <c r="O997" s="114"/>
    </row>
    <row r="998" spans="1:15" s="25" customFormat="1" ht="33.75" x14ac:dyDescent="0.2">
      <c r="A998" s="581" t="s">
        <v>225</v>
      </c>
      <c r="B998" s="582" t="s">
        <v>244</v>
      </c>
      <c r="C998" s="583" t="s">
        <v>816</v>
      </c>
      <c r="D998" s="584" t="s">
        <v>722</v>
      </c>
      <c r="E998" s="583" t="s">
        <v>227</v>
      </c>
      <c r="F998" s="585">
        <f>'MEMÓRIA DE CÁLCULO'!V82</f>
        <v>1</v>
      </c>
      <c r="G998" s="586"/>
      <c r="H998" s="588">
        <f>ROUND(SUM(H999:H1007),2)</f>
        <v>312.02999999999997</v>
      </c>
      <c r="I998" s="588">
        <f>ROUND(SUM(I999:I1007),2)</f>
        <v>59.1</v>
      </c>
      <c r="J998" s="589">
        <f>H998+I998</f>
        <v>371.13</v>
      </c>
      <c r="K998" s="587">
        <f>H998*F998</f>
        <v>312.02999999999997</v>
      </c>
      <c r="L998" s="588">
        <f>I998*F998</f>
        <v>59.1</v>
      </c>
      <c r="M998" s="589">
        <f>K998+L998</f>
        <v>371.13</v>
      </c>
      <c r="N998" s="585">
        <f>M998*$N$7</f>
        <v>91.149528000000004</v>
      </c>
      <c r="O998" s="585">
        <f>ROUND(M998+N998,2)</f>
        <v>462.28</v>
      </c>
    </row>
    <row r="999" spans="1:15" s="25" customFormat="1" ht="14.25" x14ac:dyDescent="0.2">
      <c r="A999" s="168"/>
      <c r="B999" s="159"/>
      <c r="C999" s="34"/>
      <c r="D999" s="153" t="s">
        <v>228</v>
      </c>
      <c r="E999" s="34" t="s">
        <v>229</v>
      </c>
      <c r="F999" s="148">
        <v>2.75</v>
      </c>
      <c r="G999" s="35">
        <v>8.92</v>
      </c>
      <c r="H999" s="131"/>
      <c r="I999" s="30">
        <f>F999*G999</f>
        <v>24.53</v>
      </c>
      <c r="J999" s="132"/>
      <c r="K999" s="35"/>
      <c r="L999" s="35"/>
      <c r="M999" s="134"/>
      <c r="N999" s="114"/>
      <c r="O999" s="114"/>
    </row>
    <row r="1000" spans="1:15" s="25" customFormat="1" ht="14.25" x14ac:dyDescent="0.2">
      <c r="A1000" s="168"/>
      <c r="B1000" s="159"/>
      <c r="C1000" s="34"/>
      <c r="D1000" s="153" t="s">
        <v>230</v>
      </c>
      <c r="E1000" s="34" t="s">
        <v>229</v>
      </c>
      <c r="F1000" s="148">
        <v>2.75</v>
      </c>
      <c r="G1000" s="35">
        <v>12.57</v>
      </c>
      <c r="H1000" s="131"/>
      <c r="I1000" s="30">
        <f>F1000*G1000</f>
        <v>34.567500000000003</v>
      </c>
      <c r="J1000" s="132"/>
      <c r="K1000" s="35"/>
      <c r="L1000" s="35"/>
      <c r="M1000" s="134"/>
      <c r="N1000" s="114"/>
      <c r="O1000" s="114"/>
    </row>
    <row r="1001" spans="1:15" s="25" customFormat="1" ht="14.25" x14ac:dyDescent="0.2">
      <c r="A1001" s="168"/>
      <c r="B1001" s="159"/>
      <c r="C1001" s="85" t="s">
        <v>203</v>
      </c>
      <c r="D1001" s="153" t="s">
        <v>245</v>
      </c>
      <c r="E1001" s="34" t="s">
        <v>227</v>
      </c>
      <c r="F1001" s="148">
        <v>1</v>
      </c>
      <c r="G1001" s="35">
        <v>221.8</v>
      </c>
      <c r="H1001" s="131">
        <f>F1001*G1001</f>
        <v>221.8</v>
      </c>
      <c r="I1001" s="30"/>
      <c r="J1001" s="132"/>
      <c r="K1001" s="35"/>
      <c r="L1001" s="35"/>
      <c r="M1001" s="134"/>
      <c r="N1001" s="114"/>
      <c r="O1001" s="114"/>
    </row>
    <row r="1002" spans="1:15" s="25" customFormat="1" ht="22.5" x14ac:dyDescent="0.2">
      <c r="A1002" s="168"/>
      <c r="B1002" s="159"/>
      <c r="C1002" s="34"/>
      <c r="D1002" s="153" t="s">
        <v>240</v>
      </c>
      <c r="E1002" s="34" t="s">
        <v>227</v>
      </c>
      <c r="F1002" s="148">
        <v>1</v>
      </c>
      <c r="G1002" s="35">
        <v>67.290000000000006</v>
      </c>
      <c r="H1002" s="131">
        <f t="shared" ref="H1002:H1007" si="12">F1002*G1002</f>
        <v>67.290000000000006</v>
      </c>
      <c r="I1002" s="30"/>
      <c r="J1002" s="132"/>
      <c r="K1002" s="35"/>
      <c r="L1002" s="35"/>
      <c r="M1002" s="134"/>
      <c r="N1002" s="114"/>
      <c r="O1002" s="114"/>
    </row>
    <row r="1003" spans="1:15" s="25" customFormat="1" ht="22.5" x14ac:dyDescent="0.2">
      <c r="A1003" s="168"/>
      <c r="B1003" s="159"/>
      <c r="C1003" s="34"/>
      <c r="D1003" s="153" t="s">
        <v>242</v>
      </c>
      <c r="E1003" s="34" t="s">
        <v>227</v>
      </c>
      <c r="F1003" s="148">
        <v>1</v>
      </c>
      <c r="G1003" s="35">
        <v>15.69</v>
      </c>
      <c r="H1003" s="131">
        <f t="shared" si="12"/>
        <v>15.69</v>
      </c>
      <c r="I1003" s="30"/>
      <c r="J1003" s="132"/>
      <c r="K1003" s="35"/>
      <c r="L1003" s="35"/>
      <c r="M1003" s="134"/>
      <c r="N1003" s="114"/>
      <c r="O1003" s="114"/>
    </row>
    <row r="1004" spans="1:15" s="25" customFormat="1" ht="14.25" x14ac:dyDescent="0.2">
      <c r="A1004" s="168"/>
      <c r="B1004" s="159"/>
      <c r="C1004" s="34"/>
      <c r="D1004" s="153" t="s">
        <v>232</v>
      </c>
      <c r="E1004" s="34" t="s">
        <v>227</v>
      </c>
      <c r="F1004" s="148">
        <v>2</v>
      </c>
      <c r="G1004" s="35">
        <v>2.2000000000000002</v>
      </c>
      <c r="H1004" s="131">
        <f t="shared" si="12"/>
        <v>4.4000000000000004</v>
      </c>
      <c r="I1004" s="30"/>
      <c r="J1004" s="132"/>
      <c r="K1004" s="35"/>
      <c r="L1004" s="35"/>
      <c r="M1004" s="134"/>
      <c r="N1004" s="114"/>
      <c r="O1004" s="114"/>
    </row>
    <row r="1005" spans="1:15" s="25" customFormat="1" ht="22.5" x14ac:dyDescent="0.2">
      <c r="A1005" s="168"/>
      <c r="B1005" s="159"/>
      <c r="C1005" s="34"/>
      <c r="D1005" s="153" t="s">
        <v>234</v>
      </c>
      <c r="E1005" s="34" t="s">
        <v>227</v>
      </c>
      <c r="F1005" s="148">
        <v>1</v>
      </c>
      <c r="G1005" s="35">
        <v>2.4</v>
      </c>
      <c r="H1005" s="131">
        <f t="shared" si="12"/>
        <v>2.4</v>
      </c>
      <c r="I1005" s="30"/>
      <c r="J1005" s="132"/>
      <c r="K1005" s="35"/>
      <c r="L1005" s="35"/>
      <c r="M1005" s="134"/>
      <c r="N1005" s="114"/>
      <c r="O1005" s="114"/>
    </row>
    <row r="1006" spans="1:15" s="25" customFormat="1" ht="33.75" x14ac:dyDescent="0.2">
      <c r="A1006" s="168"/>
      <c r="B1006" s="159"/>
      <c r="C1006" s="34"/>
      <c r="D1006" s="153" t="s">
        <v>235</v>
      </c>
      <c r="E1006" s="34" t="s">
        <v>227</v>
      </c>
      <c r="F1006" s="148">
        <v>2</v>
      </c>
      <c r="G1006" s="35">
        <v>0.17</v>
      </c>
      <c r="H1006" s="131">
        <f t="shared" si="12"/>
        <v>0.34</v>
      </c>
      <c r="I1006" s="30"/>
      <c r="J1006" s="132"/>
      <c r="K1006" s="35"/>
      <c r="L1006" s="35"/>
      <c r="M1006" s="134"/>
      <c r="N1006" s="114"/>
      <c r="O1006" s="114"/>
    </row>
    <row r="1007" spans="1:15" s="25" customFormat="1" ht="22.5" x14ac:dyDescent="0.2">
      <c r="A1007" s="168"/>
      <c r="B1007" s="159"/>
      <c r="C1007" s="34"/>
      <c r="D1007" s="153" t="s">
        <v>217</v>
      </c>
      <c r="E1007" s="34" t="s">
        <v>227</v>
      </c>
      <c r="F1007" s="148">
        <v>0.84</v>
      </c>
      <c r="G1007" s="35">
        <v>0.13</v>
      </c>
      <c r="H1007" s="131">
        <f t="shared" si="12"/>
        <v>0.10920000000000001</v>
      </c>
      <c r="I1007" s="30"/>
      <c r="J1007" s="132"/>
      <c r="K1007" s="35"/>
      <c r="L1007" s="35"/>
      <c r="M1007" s="134"/>
      <c r="N1007" s="114"/>
      <c r="O1007" s="114"/>
    </row>
    <row r="1008" spans="1:15" s="25" customFormat="1" ht="14.25" x14ac:dyDescent="0.2">
      <c r="A1008" s="14"/>
      <c r="B1008" s="15"/>
      <c r="C1008" s="16"/>
      <c r="D1008" s="17"/>
      <c r="E1008" s="23"/>
      <c r="F1008" s="19"/>
      <c r="G1008" s="23"/>
      <c r="H1008" s="24"/>
      <c r="I1008" s="181"/>
      <c r="J1008" s="137"/>
      <c r="K1008" s="23"/>
      <c r="L1008" s="24"/>
      <c r="M1008" s="137"/>
      <c r="N1008" s="22"/>
      <c r="O1008" s="22"/>
    </row>
    <row r="1009" spans="1:15" s="25" customFormat="1" ht="45" x14ac:dyDescent="0.2">
      <c r="A1009" s="581" t="s">
        <v>225</v>
      </c>
      <c r="B1009" s="582" t="s">
        <v>896</v>
      </c>
      <c r="C1009" s="583" t="s">
        <v>817</v>
      </c>
      <c r="D1009" s="584" t="s">
        <v>897</v>
      </c>
      <c r="E1009" s="583" t="s">
        <v>315</v>
      </c>
      <c r="F1009" s="585">
        <v>1</v>
      </c>
      <c r="G1009" s="586"/>
      <c r="H1009" s="588">
        <f>ROUND(SUM(H1010:H1011),2)</f>
        <v>0</v>
      </c>
      <c r="I1009" s="588">
        <f>ROUND(SUM(I1010:I1011),2)</f>
        <v>64.47</v>
      </c>
      <c r="J1009" s="589">
        <f>H1009+I1009</f>
        <v>64.47</v>
      </c>
      <c r="K1009" s="587">
        <f>H1009*F1009</f>
        <v>0</v>
      </c>
      <c r="L1009" s="588">
        <f>I1009*F1009</f>
        <v>64.47</v>
      </c>
      <c r="M1009" s="589">
        <f>K1009+L1009</f>
        <v>64.47</v>
      </c>
      <c r="N1009" s="585">
        <f>M1009*$N$7</f>
        <v>15.833832000000001</v>
      </c>
      <c r="O1009" s="585">
        <f>ROUND(M1009+N1009,2)</f>
        <v>80.3</v>
      </c>
    </row>
    <row r="1010" spans="1:15" s="25" customFormat="1" ht="14.25" x14ac:dyDescent="0.2">
      <c r="A1010" s="168"/>
      <c r="B1010" s="159"/>
      <c r="C1010" s="34"/>
      <c r="D1010" s="153" t="s">
        <v>300</v>
      </c>
      <c r="E1010" s="34" t="s">
        <v>307</v>
      </c>
      <c r="F1010" s="148">
        <v>3</v>
      </c>
      <c r="G1010" s="35">
        <v>8.92</v>
      </c>
      <c r="H1010" s="131"/>
      <c r="I1010" s="30">
        <f>F1010*G1010</f>
        <v>26.759999999999998</v>
      </c>
      <c r="J1010" s="132"/>
      <c r="K1010" s="35"/>
      <c r="L1010" s="35"/>
      <c r="M1010" s="134"/>
      <c r="N1010" s="114"/>
      <c r="O1010" s="114"/>
    </row>
    <row r="1011" spans="1:15" s="25" customFormat="1" ht="14.25" x14ac:dyDescent="0.2">
      <c r="A1011" s="168"/>
      <c r="B1011" s="159"/>
      <c r="C1011" s="34"/>
      <c r="D1011" s="153" t="s">
        <v>299</v>
      </c>
      <c r="E1011" s="34" t="s">
        <v>307</v>
      </c>
      <c r="F1011" s="148">
        <v>3</v>
      </c>
      <c r="G1011" s="35">
        <v>12.57</v>
      </c>
      <c r="H1011" s="131"/>
      <c r="I1011" s="30">
        <f>F1011*G1011</f>
        <v>37.71</v>
      </c>
      <c r="J1011" s="132"/>
      <c r="K1011" s="35"/>
      <c r="L1011" s="35"/>
      <c r="M1011" s="134"/>
      <c r="N1011" s="114"/>
      <c r="O1011" s="114"/>
    </row>
    <row r="1012" spans="1:15" s="25" customFormat="1" ht="14.25" x14ac:dyDescent="0.2">
      <c r="A1012" s="14"/>
      <c r="B1012" s="15"/>
      <c r="C1012" s="16"/>
      <c r="D1012" s="17"/>
      <c r="E1012" s="23"/>
      <c r="F1012" s="19"/>
      <c r="G1012" s="23"/>
      <c r="H1012" s="24"/>
      <c r="I1012" s="181"/>
      <c r="J1012" s="137"/>
      <c r="K1012" s="23"/>
      <c r="L1012" s="24"/>
      <c r="M1012" s="137"/>
      <c r="N1012" s="22"/>
      <c r="O1012" s="22"/>
    </row>
    <row r="1013" spans="1:15" s="25" customFormat="1" ht="14.25" x14ac:dyDescent="0.2">
      <c r="A1013" s="167"/>
      <c r="B1013" s="149"/>
      <c r="C1013" s="152"/>
      <c r="D1013" s="154" t="s">
        <v>246</v>
      </c>
      <c r="E1013" s="152"/>
      <c r="F1013" s="113"/>
      <c r="G1013" s="145"/>
      <c r="H1013" s="127"/>
      <c r="I1013" s="37"/>
      <c r="J1013" s="128"/>
      <c r="K1013" s="179"/>
      <c r="L1013" s="37"/>
      <c r="M1013" s="128"/>
      <c r="N1013" s="113"/>
      <c r="O1013" s="113"/>
    </row>
    <row r="1014" spans="1:15" s="25" customFormat="1" ht="14.25" x14ac:dyDescent="0.2">
      <c r="A1014" s="14"/>
      <c r="B1014" s="15"/>
      <c r="C1014" s="16"/>
      <c r="D1014" s="17"/>
      <c r="E1014" s="23"/>
      <c r="F1014" s="19"/>
      <c r="G1014" s="23"/>
      <c r="H1014" s="24"/>
      <c r="I1014" s="181"/>
      <c r="J1014" s="137"/>
      <c r="K1014" s="23"/>
      <c r="L1014" s="24"/>
      <c r="M1014" s="137"/>
      <c r="N1014" s="22"/>
      <c r="O1014" s="22"/>
    </row>
    <row r="1015" spans="1:15" s="25" customFormat="1" ht="33.75" x14ac:dyDescent="0.2">
      <c r="A1015" s="581"/>
      <c r="B1015" s="582" t="s">
        <v>247</v>
      </c>
      <c r="C1015" s="583" t="s">
        <v>818</v>
      </c>
      <c r="D1015" s="584" t="s">
        <v>724</v>
      </c>
      <c r="E1015" s="583" t="s">
        <v>227</v>
      </c>
      <c r="F1015" s="585">
        <f>'MEMÓRIA DE CÁLCULO'!AF82</f>
        <v>10</v>
      </c>
      <c r="G1015" s="586"/>
      <c r="H1015" s="588">
        <f>ROUND(SUM(H1016:H1017),2)</f>
        <v>89.9</v>
      </c>
      <c r="I1015" s="588">
        <f>ROUND(SUM(I1016:I1017),2)</f>
        <v>6.29</v>
      </c>
      <c r="J1015" s="589">
        <f>H1015+I1015</f>
        <v>96.190000000000012</v>
      </c>
      <c r="K1015" s="587">
        <f>H1015*F1015</f>
        <v>899</v>
      </c>
      <c r="L1015" s="588">
        <f>I1015*F1015</f>
        <v>62.9</v>
      </c>
      <c r="M1015" s="589">
        <f>K1015+L1015</f>
        <v>961.9</v>
      </c>
      <c r="N1015" s="585">
        <f>M1015*$N$7</f>
        <v>236.24263999999999</v>
      </c>
      <c r="O1015" s="585">
        <f>ROUND(M1015+N1015,2)</f>
        <v>1198.1400000000001</v>
      </c>
    </row>
    <row r="1016" spans="1:15" s="25" customFormat="1" ht="14.25" x14ac:dyDescent="0.2">
      <c r="A1016" s="168"/>
      <c r="B1016" s="159"/>
      <c r="C1016" s="34"/>
      <c r="D1016" s="153" t="s">
        <v>243</v>
      </c>
      <c r="E1016" s="34" t="s">
        <v>229</v>
      </c>
      <c r="F1016" s="148">
        <v>0.5</v>
      </c>
      <c r="G1016" s="35">
        <v>12.57</v>
      </c>
      <c r="H1016" s="131"/>
      <c r="I1016" s="30">
        <f>F1016*G1016</f>
        <v>6.2850000000000001</v>
      </c>
      <c r="J1016" s="132"/>
      <c r="K1016" s="35"/>
      <c r="L1016" s="35"/>
      <c r="M1016" s="134"/>
      <c r="N1016" s="114"/>
      <c r="O1016" s="114"/>
    </row>
    <row r="1017" spans="1:15" s="25" customFormat="1" ht="33.75" x14ac:dyDescent="0.2">
      <c r="A1017" s="168"/>
      <c r="B1017" s="159"/>
      <c r="C1017" s="85" t="s">
        <v>203</v>
      </c>
      <c r="D1017" s="153" t="str">
        <f>D1015</f>
        <v>Papeleira em metal cromado de parafusar - referência: linha Deca Flex 2020 ou similar, que apresente características visuais e materiais de fabricação idênticos - instalado junto a cada bacia sanitária nova</v>
      </c>
      <c r="E1017" s="34" t="s">
        <v>248</v>
      </c>
      <c r="F1017" s="148">
        <v>1</v>
      </c>
      <c r="G1017" s="35">
        <v>89.9</v>
      </c>
      <c r="H1017" s="131">
        <f>F1017*G1017</f>
        <v>89.9</v>
      </c>
      <c r="I1017" s="30"/>
      <c r="J1017" s="132"/>
      <c r="K1017" s="35"/>
      <c r="L1017" s="35"/>
      <c r="M1017" s="134"/>
      <c r="N1017" s="114"/>
      <c r="O1017" s="114"/>
    </row>
    <row r="1018" spans="1:15" s="25" customFormat="1" ht="14.25" x14ac:dyDescent="0.2">
      <c r="A1018" s="168"/>
      <c r="B1018" s="159"/>
      <c r="C1018" s="34"/>
      <c r="D1018" s="153"/>
      <c r="E1018" s="34"/>
      <c r="F1018" s="148"/>
      <c r="G1018" s="35"/>
      <c r="H1018" s="131"/>
      <c r="I1018" s="30"/>
      <c r="J1018" s="132"/>
      <c r="K1018" s="35"/>
      <c r="L1018" s="35"/>
      <c r="M1018" s="134"/>
      <c r="N1018" s="114"/>
      <c r="O1018" s="114"/>
    </row>
    <row r="1019" spans="1:15" s="25" customFormat="1" ht="22.5" x14ac:dyDescent="0.2">
      <c r="A1019" s="581"/>
      <c r="B1019" s="582" t="s">
        <v>247</v>
      </c>
      <c r="C1019" s="583" t="s">
        <v>819</v>
      </c>
      <c r="D1019" s="584" t="s">
        <v>725</v>
      </c>
      <c r="E1019" s="583" t="s">
        <v>227</v>
      </c>
      <c r="F1019" s="585">
        <f>'MEMÓRIA DE CÁLCULO'!AG82</f>
        <v>9</v>
      </c>
      <c r="G1019" s="586"/>
      <c r="H1019" s="588">
        <f>ROUND(SUM(H1020:H1021),2)</f>
        <v>23.4</v>
      </c>
      <c r="I1019" s="588">
        <f>ROUND(SUM(I1020:I1021),2)</f>
        <v>8.92</v>
      </c>
      <c r="J1019" s="589">
        <f>H1019+I1019</f>
        <v>32.32</v>
      </c>
      <c r="K1019" s="587">
        <f>H1019*F1019</f>
        <v>210.6</v>
      </c>
      <c r="L1019" s="588">
        <f>I1019*F1019</f>
        <v>80.28</v>
      </c>
      <c r="M1019" s="589">
        <f>K1019+L1019</f>
        <v>290.88</v>
      </c>
      <c r="N1019" s="585">
        <f>M1019*$N$7</f>
        <v>71.440128000000001</v>
      </c>
      <c r="O1019" s="585">
        <f>ROUND(M1019+N1019,2)</f>
        <v>362.32</v>
      </c>
    </row>
    <row r="1020" spans="1:15" s="25" customFormat="1" ht="14.25" x14ac:dyDescent="0.2">
      <c r="A1020" s="168"/>
      <c r="B1020" s="159"/>
      <c r="C1020" s="34"/>
      <c r="D1020" s="153" t="s">
        <v>249</v>
      </c>
      <c r="E1020" s="34" t="s">
        <v>229</v>
      </c>
      <c r="F1020" s="148">
        <v>1</v>
      </c>
      <c r="G1020" s="35">
        <v>8.92</v>
      </c>
      <c r="H1020" s="131"/>
      <c r="I1020" s="30">
        <f>F1020*G1020</f>
        <v>8.92</v>
      </c>
      <c r="J1020" s="132"/>
      <c r="K1020" s="35"/>
      <c r="L1020" s="35"/>
      <c r="M1020" s="134"/>
      <c r="N1020" s="114"/>
      <c r="O1020" s="114"/>
    </row>
    <row r="1021" spans="1:15" s="25" customFormat="1" ht="14.25" x14ac:dyDescent="0.2">
      <c r="A1021" s="168"/>
      <c r="B1021" s="159"/>
      <c r="C1021" s="34"/>
      <c r="D1021" s="153" t="str">
        <f>D1019</f>
        <v>Saboneteira de plástico para sabonete líquido - referência:  Columbus ou similar</v>
      </c>
      <c r="E1021" s="34" t="s">
        <v>229</v>
      </c>
      <c r="F1021" s="148">
        <v>1</v>
      </c>
      <c r="G1021" s="35">
        <v>23.4</v>
      </c>
      <c r="H1021" s="131">
        <f>F1021*G1021</f>
        <v>23.4</v>
      </c>
      <c r="I1021" s="30"/>
      <c r="J1021" s="132"/>
      <c r="K1021" s="35"/>
      <c r="L1021" s="35"/>
      <c r="M1021" s="134"/>
      <c r="N1021" s="114"/>
      <c r="O1021" s="114"/>
    </row>
    <row r="1022" spans="1:15" s="25" customFormat="1" ht="14.25" x14ac:dyDescent="0.2">
      <c r="A1022" s="168"/>
      <c r="B1022" s="159"/>
      <c r="C1022" s="34"/>
      <c r="D1022" s="153"/>
      <c r="E1022" s="34"/>
      <c r="F1022" s="148"/>
      <c r="G1022" s="35"/>
      <c r="H1022" s="131"/>
      <c r="I1022" s="30"/>
      <c r="J1022" s="132"/>
      <c r="K1022" s="35"/>
      <c r="L1022" s="35"/>
      <c r="M1022" s="134"/>
      <c r="N1022" s="114"/>
      <c r="O1022" s="114"/>
    </row>
    <row r="1023" spans="1:15" s="25" customFormat="1" ht="22.5" x14ac:dyDescent="0.2">
      <c r="A1023" s="581"/>
      <c r="B1023" s="582" t="s">
        <v>247</v>
      </c>
      <c r="C1023" s="583" t="s">
        <v>820</v>
      </c>
      <c r="D1023" s="584" t="s">
        <v>726</v>
      </c>
      <c r="E1023" s="583" t="s">
        <v>227</v>
      </c>
      <c r="F1023" s="585">
        <f>'MEMÓRIA DE CÁLCULO'!AH82</f>
        <v>8</v>
      </c>
      <c r="G1023" s="586"/>
      <c r="H1023" s="588">
        <f>ROUND(SUM(H1024:H1025),2)</f>
        <v>28.3</v>
      </c>
      <c r="I1023" s="588">
        <f>ROUND(SUM(I1024:I1025),2)</f>
        <v>8.92</v>
      </c>
      <c r="J1023" s="589">
        <f>H1023+I1023</f>
        <v>37.22</v>
      </c>
      <c r="K1023" s="587">
        <f>H1023*F1023</f>
        <v>226.4</v>
      </c>
      <c r="L1023" s="588">
        <f>I1023*F1023</f>
        <v>71.36</v>
      </c>
      <c r="M1023" s="589">
        <f>K1023+L1023</f>
        <v>297.76</v>
      </c>
      <c r="N1023" s="585">
        <f>M1023*$N$7</f>
        <v>73.129856000000004</v>
      </c>
      <c r="O1023" s="585">
        <f>ROUND(M1023+N1023,2)</f>
        <v>370.89</v>
      </c>
    </row>
    <row r="1024" spans="1:15" s="25" customFormat="1" ht="15" customHeight="1" x14ac:dyDescent="0.2">
      <c r="A1024" s="168"/>
      <c r="B1024" s="159"/>
      <c r="C1024" s="34"/>
      <c r="D1024" s="153" t="s">
        <v>249</v>
      </c>
      <c r="E1024" s="34" t="s">
        <v>229</v>
      </c>
      <c r="F1024" s="148">
        <v>1</v>
      </c>
      <c r="G1024" s="35">
        <v>8.92</v>
      </c>
      <c r="H1024" s="131"/>
      <c r="I1024" s="30">
        <f>F1024*G1024</f>
        <v>8.92</v>
      </c>
      <c r="J1024" s="132"/>
      <c r="K1024" s="35"/>
      <c r="L1024" s="35"/>
      <c r="M1024" s="134"/>
      <c r="N1024" s="114"/>
      <c r="O1024" s="114"/>
    </row>
    <row r="1025" spans="1:15" s="25" customFormat="1" ht="31.5" customHeight="1" x14ac:dyDescent="0.2">
      <c r="A1025" s="168"/>
      <c r="B1025" s="159"/>
      <c r="C1025" s="34"/>
      <c r="D1025" s="153" t="str">
        <f>D1023</f>
        <v>Dispenser para papel toalha, linha standard - Fornecimento e instalação  - Referência Técnica: Columbus ou similar</v>
      </c>
      <c r="E1025" s="34" t="s">
        <v>229</v>
      </c>
      <c r="F1025" s="148">
        <v>1</v>
      </c>
      <c r="G1025" s="35">
        <v>28.3</v>
      </c>
      <c r="H1025" s="131">
        <f>F1025*G1025</f>
        <v>28.3</v>
      </c>
      <c r="I1025" s="30"/>
      <c r="J1025" s="132"/>
      <c r="K1025" s="35"/>
      <c r="L1025" s="35"/>
      <c r="M1025" s="134"/>
      <c r="N1025" s="114"/>
      <c r="O1025" s="114"/>
    </row>
    <row r="1026" spans="1:15" s="25" customFormat="1" ht="14.25" x14ac:dyDescent="0.2">
      <c r="A1026" s="168"/>
      <c r="B1026" s="159"/>
      <c r="C1026" s="34"/>
      <c r="D1026" s="153"/>
      <c r="E1026" s="34"/>
      <c r="F1026" s="148"/>
      <c r="G1026" s="35"/>
      <c r="H1026" s="131"/>
      <c r="I1026" s="30"/>
      <c r="J1026" s="132"/>
      <c r="K1026" s="35"/>
      <c r="L1026" s="35"/>
      <c r="M1026" s="134"/>
      <c r="N1026" s="114"/>
      <c r="O1026" s="114"/>
    </row>
    <row r="1027" spans="1:15" s="25" customFormat="1" ht="22.5" x14ac:dyDescent="0.2">
      <c r="A1027" s="581"/>
      <c r="B1027" s="582" t="s">
        <v>247</v>
      </c>
      <c r="C1027" s="583" t="s">
        <v>821</v>
      </c>
      <c r="D1027" s="584" t="s">
        <v>727</v>
      </c>
      <c r="E1027" s="583" t="s">
        <v>227</v>
      </c>
      <c r="F1027" s="585">
        <f>'MEMÓRIA DE CÁLCULO'!AE82</f>
        <v>10</v>
      </c>
      <c r="G1027" s="586"/>
      <c r="H1027" s="588">
        <f>ROUND(SUM(H1028:H1029),2)</f>
        <v>47.9</v>
      </c>
      <c r="I1027" s="588">
        <f>ROUND(SUM(I1028:I1029),2)</f>
        <v>8.92</v>
      </c>
      <c r="J1027" s="589">
        <f>H1027+I1027</f>
        <v>56.82</v>
      </c>
      <c r="K1027" s="587">
        <f>H1027*F1027</f>
        <v>479</v>
      </c>
      <c r="L1027" s="588">
        <f>I1027*F1027</f>
        <v>89.2</v>
      </c>
      <c r="M1027" s="589">
        <f>K1027+L1027</f>
        <v>568.20000000000005</v>
      </c>
      <c r="N1027" s="585">
        <f>M1027*$N$7</f>
        <v>139.54992000000001</v>
      </c>
      <c r="O1027" s="585">
        <f>ROUND(M1027+N1027,2)</f>
        <v>707.75</v>
      </c>
    </row>
    <row r="1028" spans="1:15" s="25" customFormat="1" ht="14.25" x14ac:dyDescent="0.2">
      <c r="A1028" s="168"/>
      <c r="B1028" s="159"/>
      <c r="C1028" s="34"/>
      <c r="D1028" s="153" t="s">
        <v>250</v>
      </c>
      <c r="E1028" s="34" t="s">
        <v>229</v>
      </c>
      <c r="F1028" s="148">
        <v>1</v>
      </c>
      <c r="G1028" s="35">
        <v>8.92</v>
      </c>
      <c r="H1028" s="131"/>
      <c r="I1028" s="30">
        <f>F1028*G1028</f>
        <v>8.92</v>
      </c>
      <c r="J1028" s="132"/>
      <c r="K1028" s="35"/>
      <c r="L1028" s="35"/>
      <c r="M1028" s="134"/>
      <c r="N1028" s="114"/>
      <c r="O1028" s="114"/>
    </row>
    <row r="1029" spans="1:15" s="25" customFormat="1" ht="22.5" x14ac:dyDescent="0.2">
      <c r="A1029" s="168"/>
      <c r="B1029" s="159"/>
      <c r="C1029" s="85" t="s">
        <v>203</v>
      </c>
      <c r="D1029" s="153" t="str">
        <f>D1027</f>
        <v>Toalheiro tipo gancho em metal cromado de parafusar - referêcnia: linha Deca Flex 2060 ou similar - instalados nos sanitários e nas copas</v>
      </c>
      <c r="E1029" s="34" t="s">
        <v>251</v>
      </c>
      <c r="F1029" s="148">
        <v>1</v>
      </c>
      <c r="G1029" s="35">
        <v>47.9</v>
      </c>
      <c r="H1029" s="131">
        <f>F1029*G1029</f>
        <v>47.9</v>
      </c>
      <c r="I1029" s="30"/>
      <c r="J1029" s="132"/>
      <c r="K1029" s="35"/>
      <c r="L1029" s="35"/>
      <c r="M1029" s="134"/>
      <c r="N1029" s="114"/>
      <c r="O1029" s="114"/>
    </row>
    <row r="1030" spans="1:15" s="13" customFormat="1" ht="12.75" x14ac:dyDescent="0.25">
      <c r="A1030" s="168"/>
      <c r="B1030" s="159"/>
      <c r="C1030" s="34"/>
      <c r="D1030" s="153"/>
      <c r="E1030" s="34"/>
      <c r="F1030" s="148"/>
      <c r="G1030" s="35"/>
      <c r="H1030" s="131"/>
      <c r="I1030" s="30"/>
      <c r="J1030" s="132"/>
      <c r="K1030" s="35"/>
      <c r="L1030" s="35"/>
      <c r="M1030" s="134"/>
      <c r="N1030" s="114"/>
      <c r="O1030" s="114"/>
    </row>
    <row r="1031" spans="1:15" s="25" customFormat="1" ht="33.75" x14ac:dyDescent="0.2">
      <c r="A1031" s="581" t="s">
        <v>277</v>
      </c>
      <c r="B1031" s="582" t="s">
        <v>252</v>
      </c>
      <c r="C1031" s="583" t="s">
        <v>822</v>
      </c>
      <c r="D1031" s="584" t="s">
        <v>728</v>
      </c>
      <c r="E1031" s="583" t="s">
        <v>253</v>
      </c>
      <c r="F1031" s="585">
        <f>'MEMÓRIA DE CÁLCULO'!AD82</f>
        <v>10</v>
      </c>
      <c r="G1031" s="586"/>
      <c r="H1031" s="587">
        <v>170.49</v>
      </c>
      <c r="I1031" s="588">
        <v>3.6</v>
      </c>
      <c r="J1031" s="589">
        <f>H1031+I1031</f>
        <v>174.09</v>
      </c>
      <c r="K1031" s="587">
        <f>H1031*F1031</f>
        <v>1704.9</v>
      </c>
      <c r="L1031" s="588">
        <f>I1031*F1031</f>
        <v>36</v>
      </c>
      <c r="M1031" s="589">
        <f>K1031+L1031</f>
        <v>1740.9</v>
      </c>
      <c r="N1031" s="585">
        <f>M1031*$N$7</f>
        <v>427.56504000000007</v>
      </c>
      <c r="O1031" s="585">
        <f>ROUND(M1031+N1031,2)</f>
        <v>2168.4699999999998</v>
      </c>
    </row>
    <row r="1032" spans="1:15" s="25" customFormat="1" ht="14.25" x14ac:dyDescent="0.2">
      <c r="A1032" s="14"/>
      <c r="B1032" s="15"/>
      <c r="C1032" s="16"/>
      <c r="D1032" s="17"/>
      <c r="E1032" s="16"/>
      <c r="F1032" s="17"/>
      <c r="G1032" s="18"/>
      <c r="H1032" s="24"/>
      <c r="I1032" s="182"/>
      <c r="J1032" s="139"/>
      <c r="K1032" s="180"/>
      <c r="L1032" s="21"/>
      <c r="M1032" s="139"/>
      <c r="N1032" s="22"/>
      <c r="O1032" s="22"/>
    </row>
    <row r="1033" spans="1:15" s="25" customFormat="1" ht="33.75" x14ac:dyDescent="0.2">
      <c r="A1033" s="581" t="s">
        <v>225</v>
      </c>
      <c r="B1033" s="582" t="s">
        <v>254</v>
      </c>
      <c r="C1033" s="583" t="s">
        <v>823</v>
      </c>
      <c r="D1033" s="584" t="s">
        <v>729</v>
      </c>
      <c r="E1033" s="583" t="s">
        <v>227</v>
      </c>
      <c r="F1033" s="585">
        <f>'MEMÓRIA DE CÁLCULO'!Y82</f>
        <v>9</v>
      </c>
      <c r="G1033" s="586"/>
      <c r="H1033" s="588">
        <f>ROUND(SUM(H1034:H1037),2)</f>
        <v>206.02</v>
      </c>
      <c r="I1033" s="588">
        <f>ROUND(SUM(I1034:I1037),2)</f>
        <v>30.09</v>
      </c>
      <c r="J1033" s="589">
        <f>H1033+I1033</f>
        <v>236.11</v>
      </c>
      <c r="K1033" s="587">
        <f>H1033*F1033</f>
        <v>1854.18</v>
      </c>
      <c r="L1033" s="588">
        <f>I1033*F1033</f>
        <v>270.81</v>
      </c>
      <c r="M1033" s="589">
        <f>K1033+L1033</f>
        <v>2124.9900000000002</v>
      </c>
      <c r="N1033" s="585">
        <f>M1033*$N$7</f>
        <v>521.89754400000004</v>
      </c>
      <c r="O1033" s="585">
        <f>ROUND(M1033+N1033,2)</f>
        <v>2646.89</v>
      </c>
    </row>
    <row r="1034" spans="1:15" s="25" customFormat="1" ht="14.25" x14ac:dyDescent="0.2">
      <c r="A1034" s="168"/>
      <c r="B1034" s="159"/>
      <c r="C1034" s="34"/>
      <c r="D1034" s="153" t="s">
        <v>228</v>
      </c>
      <c r="E1034" s="34" t="s">
        <v>229</v>
      </c>
      <c r="F1034" s="148">
        <v>1.4</v>
      </c>
      <c r="G1034" s="35">
        <v>8.92</v>
      </c>
      <c r="H1034" s="131"/>
      <c r="I1034" s="30">
        <f>F1034*G1034</f>
        <v>12.488</v>
      </c>
      <c r="J1034" s="132"/>
      <c r="K1034" s="35"/>
      <c r="L1034" s="35"/>
      <c r="M1034" s="134"/>
      <c r="N1034" s="114"/>
      <c r="O1034" s="114"/>
    </row>
    <row r="1035" spans="1:15" s="25" customFormat="1" ht="14.25" x14ac:dyDescent="0.2">
      <c r="A1035" s="168"/>
      <c r="B1035" s="159"/>
      <c r="C1035" s="34"/>
      <c r="D1035" s="153" t="s">
        <v>230</v>
      </c>
      <c r="E1035" s="34" t="s">
        <v>229</v>
      </c>
      <c r="F1035" s="148">
        <v>1.4</v>
      </c>
      <c r="G1035" s="35">
        <v>12.57</v>
      </c>
      <c r="H1035" s="131"/>
      <c r="I1035" s="30">
        <f>F1035*G1035</f>
        <v>17.597999999999999</v>
      </c>
      <c r="J1035" s="132"/>
      <c r="K1035" s="35"/>
      <c r="L1035" s="35"/>
      <c r="M1035" s="134"/>
      <c r="N1035" s="114"/>
      <c r="O1035" s="114"/>
    </row>
    <row r="1036" spans="1:15" s="25" customFormat="1" ht="22.5" x14ac:dyDescent="0.2">
      <c r="A1036" s="168"/>
      <c r="B1036" s="159"/>
      <c r="C1036" s="34"/>
      <c r="D1036" s="153" t="s">
        <v>217</v>
      </c>
      <c r="E1036" s="34" t="s">
        <v>227</v>
      </c>
      <c r="F1036" s="148">
        <v>0.94</v>
      </c>
      <c r="G1036" s="35">
        <v>0.13</v>
      </c>
      <c r="H1036" s="131">
        <f>F1036*G1036</f>
        <v>0.1222</v>
      </c>
      <c r="I1036" s="30"/>
      <c r="J1036" s="132"/>
      <c r="K1036" s="35"/>
      <c r="L1036" s="35"/>
      <c r="M1036" s="134"/>
      <c r="N1036" s="114"/>
      <c r="O1036" s="114"/>
    </row>
    <row r="1037" spans="1:15" s="25" customFormat="1" ht="33.75" x14ac:dyDescent="0.2">
      <c r="A1037" s="168"/>
      <c r="B1037" s="159"/>
      <c r="C1037" s="85" t="s">
        <v>203</v>
      </c>
      <c r="D1037" s="153" t="str">
        <f>D1033</f>
        <v>Torneira de pressão cromada para lavatório com fechamento automático - Referência: Torneira Lavatório uso público mesa Pressmatic Alfa CR 446106 - Docol ou similar - fechamaneto automático ou similar</v>
      </c>
      <c r="E1037" s="34" t="s">
        <v>227</v>
      </c>
      <c r="F1037" s="148">
        <v>1</v>
      </c>
      <c r="G1037" s="35">
        <v>205.9</v>
      </c>
      <c r="H1037" s="131">
        <f>F1037*G1037</f>
        <v>205.9</v>
      </c>
      <c r="I1037" s="30"/>
      <c r="J1037" s="132"/>
      <c r="K1037" s="35"/>
      <c r="L1037" s="35"/>
      <c r="M1037" s="134"/>
      <c r="N1037" s="114"/>
      <c r="O1037" s="114"/>
    </row>
    <row r="1038" spans="1:15" s="25" customFormat="1" ht="14.25" x14ac:dyDescent="0.2">
      <c r="A1038" s="168"/>
      <c r="B1038" s="159"/>
      <c r="C1038" s="34"/>
      <c r="D1038" s="153"/>
      <c r="E1038" s="34"/>
      <c r="F1038" s="148"/>
      <c r="G1038" s="35"/>
      <c r="H1038" s="131"/>
      <c r="I1038" s="30"/>
      <c r="J1038" s="132"/>
      <c r="K1038" s="35"/>
      <c r="L1038" s="35"/>
      <c r="M1038" s="134"/>
      <c r="N1038" s="114"/>
      <c r="O1038" s="114"/>
    </row>
    <row r="1039" spans="1:15" s="25" customFormat="1" ht="22.5" x14ac:dyDescent="0.2">
      <c r="A1039" s="581" t="s">
        <v>225</v>
      </c>
      <c r="B1039" s="582" t="s">
        <v>255</v>
      </c>
      <c r="C1039" s="583" t="s">
        <v>824</v>
      </c>
      <c r="D1039" s="584" t="s">
        <v>730</v>
      </c>
      <c r="E1039" s="583" t="s">
        <v>227</v>
      </c>
      <c r="F1039" s="585">
        <f>'MEMÓRIA DE CÁLCULO'!X82</f>
        <v>1</v>
      </c>
      <c r="G1039" s="586"/>
      <c r="H1039" s="588">
        <f>ROUND(SUM(H1040:H1043),2)</f>
        <v>231.35</v>
      </c>
      <c r="I1039" s="588">
        <f>ROUND(SUM(I1040:I1043),2)</f>
        <v>30.09</v>
      </c>
      <c r="J1039" s="589">
        <f>H1039+I1039</f>
        <v>261.44</v>
      </c>
      <c r="K1039" s="587">
        <f>H1039*F1039</f>
        <v>231.35</v>
      </c>
      <c r="L1039" s="588">
        <f>I1039*F1039</f>
        <v>30.09</v>
      </c>
      <c r="M1039" s="589">
        <f>K1039+L1039</f>
        <v>261.44</v>
      </c>
      <c r="N1039" s="585">
        <f>M1039*$N$7</f>
        <v>64.209664000000004</v>
      </c>
      <c r="O1039" s="585">
        <f>ROUND(M1039+N1039,2)</f>
        <v>325.64999999999998</v>
      </c>
    </row>
    <row r="1040" spans="1:15" s="25" customFormat="1" ht="14.25" x14ac:dyDescent="0.2">
      <c r="A1040" s="168"/>
      <c r="B1040" s="159"/>
      <c r="C1040" s="34"/>
      <c r="D1040" s="153" t="s">
        <v>228</v>
      </c>
      <c r="E1040" s="34" t="s">
        <v>229</v>
      </c>
      <c r="F1040" s="148">
        <v>1.4</v>
      </c>
      <c r="G1040" s="35">
        <v>8.92</v>
      </c>
      <c r="H1040" s="131"/>
      <c r="I1040" s="30">
        <f>F1040*G1040</f>
        <v>12.488</v>
      </c>
      <c r="J1040" s="132"/>
      <c r="K1040" s="35"/>
      <c r="L1040" s="35"/>
      <c r="M1040" s="134"/>
      <c r="N1040" s="114"/>
      <c r="O1040" s="114"/>
    </row>
    <row r="1041" spans="1:15" s="25" customFormat="1" ht="14.25" x14ac:dyDescent="0.2">
      <c r="A1041" s="168"/>
      <c r="B1041" s="159"/>
      <c r="C1041" s="34"/>
      <c r="D1041" s="153" t="s">
        <v>230</v>
      </c>
      <c r="E1041" s="34" t="s">
        <v>229</v>
      </c>
      <c r="F1041" s="148">
        <v>1.4</v>
      </c>
      <c r="G1041" s="35">
        <v>12.57</v>
      </c>
      <c r="H1041" s="131"/>
      <c r="I1041" s="30">
        <f>F1041*G1041</f>
        <v>17.597999999999999</v>
      </c>
      <c r="J1041" s="132"/>
      <c r="K1041" s="35"/>
      <c r="L1041" s="35"/>
      <c r="M1041" s="134"/>
      <c r="N1041" s="114"/>
      <c r="O1041" s="114"/>
    </row>
    <row r="1042" spans="1:15" s="25" customFormat="1" ht="14.25" x14ac:dyDescent="0.2">
      <c r="A1042" s="168"/>
      <c r="B1042" s="159"/>
      <c r="C1042" s="85" t="s">
        <v>203</v>
      </c>
      <c r="D1042" s="153" t="s">
        <v>151</v>
      </c>
      <c r="E1042" s="34" t="s">
        <v>227</v>
      </c>
      <c r="F1042" s="148">
        <v>1</v>
      </c>
      <c r="G1042" s="35">
        <v>231.23</v>
      </c>
      <c r="H1042" s="131">
        <f>F1042*G1042</f>
        <v>231.23</v>
      </c>
      <c r="I1042" s="30"/>
      <c r="J1042" s="132"/>
      <c r="K1042" s="35"/>
      <c r="L1042" s="35"/>
      <c r="M1042" s="134"/>
      <c r="N1042" s="114"/>
      <c r="O1042" s="114"/>
    </row>
    <row r="1043" spans="1:15" s="25" customFormat="1" ht="22.5" x14ac:dyDescent="0.2">
      <c r="A1043" s="168"/>
      <c r="B1043" s="159"/>
      <c r="C1043" s="34"/>
      <c r="D1043" s="153" t="s">
        <v>217</v>
      </c>
      <c r="E1043" s="34" t="s">
        <v>227</v>
      </c>
      <c r="F1043" s="148">
        <v>0.94</v>
      </c>
      <c r="G1043" s="35">
        <v>0.13</v>
      </c>
      <c r="H1043" s="131">
        <f>F1043*G1043</f>
        <v>0.1222</v>
      </c>
      <c r="I1043" s="30"/>
      <c r="J1043" s="132"/>
      <c r="K1043" s="35"/>
      <c r="L1043" s="35"/>
      <c r="M1043" s="134"/>
      <c r="N1043" s="114"/>
      <c r="O1043" s="114"/>
    </row>
    <row r="1044" spans="1:15" s="25" customFormat="1" ht="14.25" x14ac:dyDescent="0.2">
      <c r="A1044" s="168"/>
      <c r="B1044" s="159"/>
      <c r="C1044" s="34"/>
      <c r="D1044" s="153"/>
      <c r="E1044" s="34"/>
      <c r="F1044" s="148"/>
      <c r="G1044" s="35"/>
      <c r="H1044" s="131"/>
      <c r="I1044" s="30"/>
      <c r="J1044" s="132"/>
      <c r="K1044" s="35"/>
      <c r="L1044" s="35"/>
      <c r="M1044" s="134"/>
      <c r="N1044" s="114"/>
      <c r="O1044" s="114"/>
    </row>
    <row r="1045" spans="1:15" s="25" customFormat="1" ht="22.5" x14ac:dyDescent="0.2">
      <c r="A1045" s="581"/>
      <c r="B1045" s="582" t="s">
        <v>247</v>
      </c>
      <c r="C1045" s="583" t="s">
        <v>825</v>
      </c>
      <c r="D1045" s="584" t="s">
        <v>732</v>
      </c>
      <c r="E1045" s="583" t="s">
        <v>227</v>
      </c>
      <c r="F1045" s="585">
        <f>'MEMÓRIA DE CÁLCULO'!AB82</f>
        <v>2</v>
      </c>
      <c r="G1045" s="586"/>
      <c r="H1045" s="588">
        <f>ROUND(SUM(H1046:H1048),2)</f>
        <v>305.3</v>
      </c>
      <c r="I1045" s="588">
        <f>ROUND(SUM(I1046:I1048),2)</f>
        <v>21.49</v>
      </c>
      <c r="J1045" s="589">
        <f>H1045+I1045</f>
        <v>326.79000000000002</v>
      </c>
      <c r="K1045" s="587">
        <f>H1045*F1045</f>
        <v>610.6</v>
      </c>
      <c r="L1045" s="588">
        <f>I1045*F1045</f>
        <v>42.98</v>
      </c>
      <c r="M1045" s="589">
        <f>K1045+L1045</f>
        <v>653.58000000000004</v>
      </c>
      <c r="N1045" s="585">
        <f>M1045*$N$7</f>
        <v>160.519248</v>
      </c>
      <c r="O1045" s="585">
        <f>ROUND(M1045+N1045,2)</f>
        <v>814.1</v>
      </c>
    </row>
    <row r="1046" spans="1:15" s="25" customFormat="1" ht="14.25" x14ac:dyDescent="0.2">
      <c r="A1046" s="168"/>
      <c r="B1046" s="159"/>
      <c r="C1046" s="34"/>
      <c r="D1046" s="153" t="s">
        <v>243</v>
      </c>
      <c r="E1046" s="34" t="s">
        <v>229</v>
      </c>
      <c r="F1046" s="148">
        <v>1</v>
      </c>
      <c r="G1046" s="35">
        <v>12.57</v>
      </c>
      <c r="H1046" s="131"/>
      <c r="I1046" s="30">
        <f>F1046*G1046</f>
        <v>12.57</v>
      </c>
      <c r="J1046" s="132"/>
      <c r="K1046" s="35"/>
      <c r="L1046" s="35"/>
      <c r="M1046" s="134"/>
      <c r="N1046" s="114"/>
      <c r="O1046" s="114"/>
    </row>
    <row r="1047" spans="1:15" s="25" customFormat="1" ht="14.25" x14ac:dyDescent="0.2">
      <c r="A1047" s="168"/>
      <c r="B1047" s="159"/>
      <c r="C1047" s="34"/>
      <c r="D1047" s="153" t="s">
        <v>207</v>
      </c>
      <c r="E1047" s="34" t="s">
        <v>229</v>
      </c>
      <c r="F1047" s="148">
        <v>1</v>
      </c>
      <c r="G1047" s="35">
        <v>8.92</v>
      </c>
      <c r="H1047" s="131"/>
      <c r="I1047" s="30">
        <f>F1047*G1047</f>
        <v>8.92</v>
      </c>
      <c r="J1047" s="132"/>
      <c r="K1047" s="35"/>
      <c r="L1047" s="35"/>
      <c r="M1047" s="134"/>
      <c r="N1047" s="114"/>
      <c r="O1047" s="114"/>
    </row>
    <row r="1048" spans="1:15" s="25" customFormat="1" ht="22.5" x14ac:dyDescent="0.2">
      <c r="A1048" s="168"/>
      <c r="B1048" s="159"/>
      <c r="C1048" s="85" t="s">
        <v>203</v>
      </c>
      <c r="D1048" s="153" t="s">
        <v>256</v>
      </c>
      <c r="E1048" s="34" t="s">
        <v>227</v>
      </c>
      <c r="F1048" s="148">
        <v>1</v>
      </c>
      <c r="G1048" s="35">
        <v>297.3</v>
      </c>
      <c r="H1048" s="131">
        <v>305.3</v>
      </c>
      <c r="I1048" s="30"/>
      <c r="J1048" s="132"/>
      <c r="K1048" s="35"/>
      <c r="L1048" s="35"/>
      <c r="M1048" s="134"/>
      <c r="N1048" s="114"/>
      <c r="O1048" s="114"/>
    </row>
    <row r="1049" spans="1:15" s="25" customFormat="1" ht="14.25" x14ac:dyDescent="0.2">
      <c r="A1049" s="168"/>
      <c r="B1049" s="159"/>
      <c r="C1049" s="34"/>
      <c r="D1049" s="153"/>
      <c r="E1049" s="34"/>
      <c r="F1049" s="148"/>
      <c r="G1049" s="35"/>
      <c r="H1049" s="131"/>
      <c r="I1049" s="30"/>
      <c r="J1049" s="132"/>
      <c r="K1049" s="35"/>
      <c r="L1049" s="35"/>
      <c r="M1049" s="134"/>
      <c r="N1049" s="114"/>
      <c r="O1049" s="114"/>
    </row>
    <row r="1050" spans="1:15" s="25" customFormat="1" ht="33.75" x14ac:dyDescent="0.2">
      <c r="A1050" s="581"/>
      <c r="B1050" s="582" t="s">
        <v>247</v>
      </c>
      <c r="C1050" s="583" t="s">
        <v>826</v>
      </c>
      <c r="D1050" s="584" t="s">
        <v>733</v>
      </c>
      <c r="E1050" s="583" t="s">
        <v>227</v>
      </c>
      <c r="F1050" s="585">
        <f>'MEMÓRIA DE CÁLCULO'!AC82</f>
        <v>1</v>
      </c>
      <c r="G1050" s="586"/>
      <c r="H1050" s="588">
        <f>ROUND(SUM(H1051:H1053),2)</f>
        <v>102.25</v>
      </c>
      <c r="I1050" s="588">
        <f>ROUND(SUM(I1051:I1053),2)</f>
        <v>21.49</v>
      </c>
      <c r="J1050" s="589">
        <f>H1050+I1050</f>
        <v>123.74</v>
      </c>
      <c r="K1050" s="587">
        <f>H1050*F1050</f>
        <v>102.25</v>
      </c>
      <c r="L1050" s="588">
        <f>I1050*F1050</f>
        <v>21.49</v>
      </c>
      <c r="M1050" s="589">
        <f>K1050+L1050</f>
        <v>123.74</v>
      </c>
      <c r="N1050" s="585">
        <f>M1050*$N$7</f>
        <v>30.390544000000002</v>
      </c>
      <c r="O1050" s="585">
        <f>ROUND(M1050+N1050,2)</f>
        <v>154.13</v>
      </c>
    </row>
    <row r="1051" spans="1:15" s="25" customFormat="1" ht="14.25" x14ac:dyDescent="0.2">
      <c r="A1051" s="169" t="s">
        <v>327</v>
      </c>
      <c r="B1051" s="159"/>
      <c r="C1051" s="34"/>
      <c r="D1051" s="153" t="s">
        <v>243</v>
      </c>
      <c r="E1051" s="34" t="s">
        <v>229</v>
      </c>
      <c r="F1051" s="148">
        <v>1</v>
      </c>
      <c r="G1051" s="35">
        <v>12.57</v>
      </c>
      <c r="H1051" s="131"/>
      <c r="I1051" s="30">
        <f>F1051*G1051</f>
        <v>12.57</v>
      </c>
      <c r="J1051" s="132"/>
      <c r="K1051" s="35"/>
      <c r="L1051" s="35"/>
      <c r="M1051" s="134"/>
      <c r="N1051" s="114"/>
      <c r="O1051" s="114"/>
    </row>
    <row r="1052" spans="1:15" s="25" customFormat="1" ht="14.25" x14ac:dyDescent="0.2">
      <c r="A1052" s="168"/>
      <c r="B1052" s="159"/>
      <c r="C1052" s="34"/>
      <c r="D1052" s="153" t="s">
        <v>207</v>
      </c>
      <c r="E1052" s="34" t="s">
        <v>229</v>
      </c>
      <c r="F1052" s="148">
        <v>1</v>
      </c>
      <c r="G1052" s="35">
        <v>8.92</v>
      </c>
      <c r="H1052" s="131"/>
      <c r="I1052" s="30">
        <f>F1052*G1052</f>
        <v>8.92</v>
      </c>
      <c r="J1052" s="132"/>
      <c r="K1052" s="35"/>
      <c r="L1052" s="35"/>
      <c r="M1052" s="134"/>
      <c r="N1052" s="114"/>
      <c r="O1052" s="114"/>
    </row>
    <row r="1053" spans="1:15" s="25" customFormat="1" ht="22.5" x14ac:dyDescent="0.2">
      <c r="A1053" s="168"/>
      <c r="B1053" s="159"/>
      <c r="C1053" s="85" t="s">
        <v>203</v>
      </c>
      <c r="D1053" s="153" t="s">
        <v>257</v>
      </c>
      <c r="E1053" s="34" t="s">
        <v>227</v>
      </c>
      <c r="F1053" s="148">
        <v>1</v>
      </c>
      <c r="G1053" s="35">
        <v>102.25</v>
      </c>
      <c r="H1053" s="131">
        <f>F1053*G1053</f>
        <v>102.25</v>
      </c>
      <c r="I1053" s="30"/>
      <c r="J1053" s="132"/>
      <c r="K1053" s="35"/>
      <c r="L1053" s="35"/>
      <c r="M1053" s="134"/>
      <c r="N1053" s="114"/>
      <c r="O1053" s="114"/>
    </row>
    <row r="1054" spans="1:15" s="25" customFormat="1" ht="14.25" x14ac:dyDescent="0.2">
      <c r="A1054" s="168"/>
      <c r="B1054" s="159"/>
      <c r="C1054" s="34"/>
      <c r="D1054" s="153"/>
      <c r="E1054" s="34"/>
      <c r="F1054" s="148"/>
      <c r="G1054" s="35"/>
      <c r="H1054" s="131"/>
      <c r="I1054" s="30"/>
      <c r="J1054" s="132"/>
      <c r="K1054" s="35"/>
      <c r="L1054" s="35"/>
      <c r="M1054" s="134"/>
      <c r="N1054" s="114"/>
      <c r="O1054" s="114"/>
    </row>
    <row r="1055" spans="1:15" s="25" customFormat="1" ht="22.5" x14ac:dyDescent="0.2">
      <c r="A1055" s="581" t="s">
        <v>225</v>
      </c>
      <c r="B1055" s="582" t="s">
        <v>179</v>
      </c>
      <c r="C1055" s="583" t="s">
        <v>827</v>
      </c>
      <c r="D1055" s="584" t="s">
        <v>735</v>
      </c>
      <c r="E1055" s="583" t="s">
        <v>227</v>
      </c>
      <c r="F1055" s="585">
        <f>'MEMÓRIA DE CÁLCULO'!U82</f>
        <v>1</v>
      </c>
      <c r="G1055" s="586"/>
      <c r="H1055" s="588">
        <f>ROUND(SUM(H1056:H1060),2)</f>
        <v>79.959999999999994</v>
      </c>
      <c r="I1055" s="588">
        <f>ROUND(SUM(I1056:I1060),2)</f>
        <v>42.98</v>
      </c>
      <c r="J1055" s="589">
        <f>H1055+I1055</f>
        <v>122.94</v>
      </c>
      <c r="K1055" s="587">
        <f>H1055*F1055</f>
        <v>79.959999999999994</v>
      </c>
      <c r="L1055" s="588">
        <f>I1055*F1055</f>
        <v>42.98</v>
      </c>
      <c r="M1055" s="589">
        <f>K1055+L1055</f>
        <v>122.94</v>
      </c>
      <c r="N1055" s="585">
        <f>M1055*$N$7</f>
        <v>30.194064000000001</v>
      </c>
      <c r="O1055" s="585">
        <f>ROUND(M1055+N1055,2)</f>
        <v>153.13</v>
      </c>
    </row>
    <row r="1056" spans="1:15" s="25" customFormat="1" ht="14.25" x14ac:dyDescent="0.2">
      <c r="A1056" s="168"/>
      <c r="B1056" s="159"/>
      <c r="C1056" s="34"/>
      <c r="D1056" s="153" t="s">
        <v>228</v>
      </c>
      <c r="E1056" s="34" t="s">
        <v>229</v>
      </c>
      <c r="F1056" s="148">
        <v>2</v>
      </c>
      <c r="G1056" s="35">
        <v>8.92</v>
      </c>
      <c r="H1056" s="131"/>
      <c r="I1056" s="30">
        <f>F1056*G1056</f>
        <v>17.84</v>
      </c>
      <c r="J1056" s="132"/>
      <c r="K1056" s="35"/>
      <c r="L1056" s="35"/>
      <c r="M1056" s="134"/>
      <c r="N1056" s="114"/>
      <c r="O1056" s="114"/>
    </row>
    <row r="1057" spans="1:15" s="25" customFormat="1" ht="14.25" x14ac:dyDescent="0.2">
      <c r="A1057" s="168"/>
      <c r="B1057" s="159"/>
      <c r="C1057" s="34"/>
      <c r="D1057" s="153" t="s">
        <v>230</v>
      </c>
      <c r="E1057" s="34" t="s">
        <v>229</v>
      </c>
      <c r="F1057" s="148">
        <v>2</v>
      </c>
      <c r="G1057" s="35">
        <v>12.57</v>
      </c>
      <c r="H1057" s="131"/>
      <c r="I1057" s="30">
        <f>F1057*G1057</f>
        <v>25.14</v>
      </c>
      <c r="J1057" s="132"/>
      <c r="K1057" s="35"/>
      <c r="L1057" s="35"/>
      <c r="M1057" s="134"/>
      <c r="N1057" s="114"/>
      <c r="O1057" s="114"/>
    </row>
    <row r="1058" spans="1:15" s="25" customFormat="1" ht="22.5" x14ac:dyDescent="0.2">
      <c r="A1058" s="168"/>
      <c r="B1058" s="159"/>
      <c r="C1058" s="34"/>
      <c r="D1058" s="153" t="str">
        <f>D1055</f>
        <v>Base para válvula de descarga metálica Ø 32 mm (1 1/4") ou 40 mm (1 1/2")  - Referência: Docol Salvágua cromado 451106 - botão de duplo acionamento  (pne)</v>
      </c>
      <c r="E1058" s="34" t="s">
        <v>248</v>
      </c>
      <c r="F1058" s="148">
        <v>1</v>
      </c>
      <c r="G1058" s="35">
        <v>62.72</v>
      </c>
      <c r="H1058" s="131">
        <f>F1058*G1058</f>
        <v>62.72</v>
      </c>
      <c r="I1058" s="30"/>
      <c r="J1058" s="132"/>
      <c r="K1058" s="35"/>
      <c r="L1058" s="35"/>
      <c r="M1058" s="134"/>
      <c r="N1058" s="114"/>
      <c r="O1058" s="114"/>
    </row>
    <row r="1059" spans="1:15" s="25" customFormat="1" ht="22.5" x14ac:dyDescent="0.2">
      <c r="A1059" s="168"/>
      <c r="B1059" s="159"/>
      <c r="C1059" s="34"/>
      <c r="D1059" s="153" t="s">
        <v>180</v>
      </c>
      <c r="E1059" s="34" t="s">
        <v>227</v>
      </c>
      <c r="F1059" s="148">
        <v>0.6</v>
      </c>
      <c r="G1059" s="35">
        <v>28.33</v>
      </c>
      <c r="H1059" s="131">
        <f>F1059*G1059</f>
        <v>16.997999999999998</v>
      </c>
      <c r="I1059" s="30"/>
      <c r="J1059" s="132"/>
      <c r="K1059" s="35"/>
      <c r="L1059" s="35"/>
      <c r="M1059" s="134"/>
      <c r="N1059" s="114"/>
      <c r="O1059" s="114"/>
    </row>
    <row r="1060" spans="1:15" s="25" customFormat="1" ht="22.5" x14ac:dyDescent="0.2">
      <c r="A1060" s="168"/>
      <c r="B1060" s="159"/>
      <c r="C1060" s="34"/>
      <c r="D1060" s="153" t="s">
        <v>217</v>
      </c>
      <c r="E1060" s="34" t="s">
        <v>227</v>
      </c>
      <c r="F1060" s="148">
        <v>1.88</v>
      </c>
      <c r="G1060" s="35">
        <v>0.13</v>
      </c>
      <c r="H1060" s="131">
        <f>F1060*G1060</f>
        <v>0.24440000000000001</v>
      </c>
      <c r="I1060" s="30"/>
      <c r="J1060" s="132"/>
      <c r="K1060" s="35"/>
      <c r="L1060" s="35"/>
      <c r="M1060" s="134"/>
      <c r="N1060" s="114"/>
      <c r="O1060" s="114"/>
    </row>
    <row r="1061" spans="1:15" s="25" customFormat="1" ht="14.25" x14ac:dyDescent="0.2">
      <c r="A1061" s="168"/>
      <c r="B1061" s="159"/>
      <c r="C1061" s="34"/>
      <c r="D1061" s="153" t="s">
        <v>288</v>
      </c>
      <c r="E1061" s="34"/>
      <c r="F1061" s="148"/>
      <c r="G1061" s="35"/>
      <c r="H1061" s="131"/>
      <c r="I1061" s="30"/>
      <c r="J1061" s="132"/>
      <c r="K1061" s="35"/>
      <c r="L1061" s="35"/>
      <c r="M1061" s="134"/>
      <c r="N1061" s="114"/>
      <c r="O1061" s="114"/>
    </row>
    <row r="1062" spans="1:15" s="25" customFormat="1" ht="33.75" x14ac:dyDescent="0.2">
      <c r="A1062" s="581"/>
      <c r="B1062" s="582" t="s">
        <v>181</v>
      </c>
      <c r="C1062" s="583" t="s">
        <v>828</v>
      </c>
      <c r="D1062" s="584" t="s">
        <v>736</v>
      </c>
      <c r="E1062" s="583" t="s">
        <v>227</v>
      </c>
      <c r="F1062" s="585">
        <f>F1055</f>
        <v>1</v>
      </c>
      <c r="G1062" s="586"/>
      <c r="H1062" s="588">
        <f>ROUND(SUM(H1063:H1064),2)</f>
        <v>398.64</v>
      </c>
      <c r="I1062" s="588">
        <f>ROUND(SUM(I1063:I1064),2)</f>
        <v>6.69</v>
      </c>
      <c r="J1062" s="589">
        <f>H1062+I1062</f>
        <v>405.33</v>
      </c>
      <c r="K1062" s="587">
        <f>H1062*F1062</f>
        <v>398.64</v>
      </c>
      <c r="L1062" s="588">
        <f>I1062*F1062</f>
        <v>6.69</v>
      </c>
      <c r="M1062" s="589">
        <f>K1062+L1062</f>
        <v>405.33</v>
      </c>
      <c r="N1062" s="585">
        <f>M1062*$N$7</f>
        <v>99.549047999999999</v>
      </c>
      <c r="O1062" s="585">
        <f>ROUND(M1062+N1062,2)</f>
        <v>504.88</v>
      </c>
    </row>
    <row r="1063" spans="1:15" s="25" customFormat="1" ht="14.25" x14ac:dyDescent="0.2">
      <c r="A1063" s="168"/>
      <c r="B1063" s="159"/>
      <c r="C1063" s="34"/>
      <c r="D1063" s="153" t="s">
        <v>228</v>
      </c>
      <c r="E1063" s="34" t="s">
        <v>229</v>
      </c>
      <c r="F1063" s="148">
        <v>0.75</v>
      </c>
      <c r="G1063" s="35">
        <v>8.92</v>
      </c>
      <c r="H1063" s="131"/>
      <c r="I1063" s="30">
        <f>F1063*G1063</f>
        <v>6.6899999999999995</v>
      </c>
      <c r="J1063" s="132"/>
      <c r="K1063" s="35"/>
      <c r="L1063" s="35"/>
      <c r="M1063" s="134"/>
      <c r="N1063" s="114"/>
      <c r="O1063" s="114"/>
    </row>
    <row r="1064" spans="1:15" s="25" customFormat="1" ht="33.75" x14ac:dyDescent="0.2">
      <c r="A1064" s="168"/>
      <c r="B1064" s="159"/>
      <c r="C1064" s="85" t="s">
        <v>203</v>
      </c>
      <c r="D1064" s="153" t="str">
        <f>D1062</f>
        <v>Acabamento cromado para válvula de descarga tipo barra para acionamento - referência: Acabamento Válv. Desc. 1.1/2" Benefit Cr 184906 - Docol ou similar (pne)</v>
      </c>
      <c r="E1064" s="34" t="s">
        <v>248</v>
      </c>
      <c r="F1064" s="148">
        <v>1</v>
      </c>
      <c r="G1064" s="35">
        <v>398.64</v>
      </c>
      <c r="H1064" s="131">
        <f>F1064*G1064</f>
        <v>398.64</v>
      </c>
      <c r="I1064" s="30"/>
      <c r="J1064" s="132"/>
      <c r="K1064" s="35"/>
      <c r="L1064" s="35"/>
      <c r="M1064" s="134"/>
      <c r="N1064" s="114"/>
      <c r="O1064" s="114"/>
    </row>
    <row r="1065" spans="1:15" s="13" customFormat="1" ht="12.75" x14ac:dyDescent="0.25">
      <c r="A1065" s="14"/>
      <c r="B1065" s="15"/>
      <c r="C1065" s="16"/>
      <c r="D1065" s="17"/>
      <c r="E1065" s="16"/>
      <c r="F1065" s="15"/>
      <c r="G1065" s="16"/>
      <c r="H1065" s="177"/>
      <c r="I1065" s="178"/>
      <c r="J1065" s="183"/>
      <c r="K1065" s="16"/>
      <c r="L1065" s="177"/>
      <c r="M1065" s="178"/>
      <c r="N1065" s="176"/>
      <c r="O1065" s="22"/>
    </row>
    <row r="1066" spans="1:15" s="25" customFormat="1" ht="14.25" x14ac:dyDescent="0.2">
      <c r="A1066" s="167"/>
      <c r="B1066" s="149"/>
      <c r="C1066" s="152"/>
      <c r="D1066" s="154" t="s">
        <v>221</v>
      </c>
      <c r="E1066" s="152"/>
      <c r="F1066" s="113"/>
      <c r="G1066" s="145"/>
      <c r="H1066" s="127"/>
      <c r="I1066" s="37"/>
      <c r="J1066" s="128"/>
      <c r="K1066" s="179"/>
      <c r="L1066" s="37"/>
      <c r="M1066" s="128"/>
      <c r="N1066" s="113"/>
      <c r="O1066" s="113"/>
    </row>
    <row r="1067" spans="1:15" s="25" customFormat="1" ht="14.25" x14ac:dyDescent="0.2">
      <c r="A1067" s="166"/>
      <c r="B1067" s="160"/>
      <c r="C1067" s="31"/>
      <c r="D1067" s="146" t="s">
        <v>288</v>
      </c>
      <c r="E1067" s="32"/>
      <c r="F1067" s="147"/>
      <c r="G1067" s="33"/>
      <c r="H1067" s="129"/>
      <c r="I1067" s="29"/>
      <c r="J1067" s="130"/>
      <c r="K1067" s="33"/>
      <c r="L1067" s="33"/>
      <c r="M1067" s="136"/>
      <c r="N1067" s="115"/>
      <c r="O1067" s="115"/>
    </row>
    <row r="1068" spans="1:15" s="25" customFormat="1" ht="22.5" x14ac:dyDescent="0.2">
      <c r="A1068" s="581" t="s">
        <v>277</v>
      </c>
      <c r="B1068" s="582">
        <v>40777</v>
      </c>
      <c r="C1068" s="583" t="s">
        <v>829</v>
      </c>
      <c r="D1068" s="584" t="s">
        <v>65</v>
      </c>
      <c r="E1068" s="583" t="s">
        <v>281</v>
      </c>
      <c r="F1068" s="585">
        <f>'MEMÓRIA DE CÁLCULO'!AA82</f>
        <v>8</v>
      </c>
      <c r="G1068" s="586"/>
      <c r="H1068" s="587">
        <v>22.77</v>
      </c>
      <c r="I1068" s="588">
        <f>1.01*10.73</f>
        <v>10.837300000000001</v>
      </c>
      <c r="J1068" s="589">
        <f>H1068+I1068</f>
        <v>33.607300000000002</v>
      </c>
      <c r="K1068" s="587">
        <f>H1068*F1068</f>
        <v>182.16</v>
      </c>
      <c r="L1068" s="588">
        <f>I1068*F1068</f>
        <v>86.698400000000007</v>
      </c>
      <c r="M1068" s="589">
        <f>K1068+L1068</f>
        <v>268.85840000000002</v>
      </c>
      <c r="N1068" s="585">
        <f>M1068*$N$7</f>
        <v>66.031623040000014</v>
      </c>
      <c r="O1068" s="585">
        <f>ROUND(M1068+N1068,2)</f>
        <v>334.89</v>
      </c>
    </row>
    <row r="1069" spans="1:15" s="25" customFormat="1" ht="14.25" x14ac:dyDescent="0.2">
      <c r="A1069" s="166"/>
      <c r="B1069" s="160"/>
      <c r="C1069" s="31"/>
      <c r="D1069" s="146" t="s">
        <v>288</v>
      </c>
      <c r="E1069" s="32"/>
      <c r="F1069" s="147"/>
      <c r="G1069" s="33"/>
      <c r="H1069" s="129"/>
      <c r="I1069" s="29"/>
      <c r="J1069" s="130"/>
      <c r="K1069" s="33"/>
      <c r="L1069" s="33"/>
      <c r="M1069" s="136"/>
      <c r="N1069" s="115"/>
      <c r="O1069" s="115"/>
    </row>
    <row r="1070" spans="1:15" s="25" customFormat="1" ht="14.25" x14ac:dyDescent="0.2">
      <c r="A1070" s="581" t="s">
        <v>278</v>
      </c>
      <c r="B1070" s="582">
        <v>14001000005</v>
      </c>
      <c r="C1070" s="583" t="s">
        <v>830</v>
      </c>
      <c r="D1070" s="584" t="s">
        <v>737</v>
      </c>
      <c r="E1070" s="583" t="s">
        <v>281</v>
      </c>
      <c r="F1070" s="585">
        <v>1</v>
      </c>
      <c r="G1070" s="586"/>
      <c r="H1070" s="588">
        <f>ROUND(SUM(H1071:H1074),2)</f>
        <v>40.159999999999997</v>
      </c>
      <c r="I1070" s="588">
        <f>ROUND(SUM(I1071:I1074),2)</f>
        <v>9.67</v>
      </c>
      <c r="J1070" s="589">
        <f>H1070+I1070</f>
        <v>49.83</v>
      </c>
      <c r="K1070" s="587">
        <f>H1070*F1070</f>
        <v>40.159999999999997</v>
      </c>
      <c r="L1070" s="588">
        <f>I1070*F1070</f>
        <v>9.67</v>
      </c>
      <c r="M1070" s="589">
        <f>K1070+L1070</f>
        <v>49.83</v>
      </c>
      <c r="N1070" s="585">
        <f>M1070*$N$7</f>
        <v>12.238248</v>
      </c>
      <c r="O1070" s="585">
        <f>ROUND(M1070+N1070,2)</f>
        <v>62.07</v>
      </c>
    </row>
    <row r="1071" spans="1:15" s="369" customFormat="1" ht="11.25" x14ac:dyDescent="0.25">
      <c r="A1071" s="362"/>
      <c r="B1071" s="363"/>
      <c r="C1071" s="364"/>
      <c r="D1071" s="365" t="s">
        <v>228</v>
      </c>
      <c r="E1071" s="366" t="s">
        <v>229</v>
      </c>
      <c r="F1071" s="367">
        <v>0.45</v>
      </c>
      <c r="G1071" s="35">
        <v>8.92</v>
      </c>
      <c r="H1071" s="133"/>
      <c r="I1071" s="35">
        <f>F1071*G1071</f>
        <v>4.0140000000000002</v>
      </c>
      <c r="J1071" s="134"/>
      <c r="K1071" s="133"/>
      <c r="L1071" s="35"/>
      <c r="M1071" s="134"/>
      <c r="N1071" s="117"/>
      <c r="O1071" s="368"/>
    </row>
    <row r="1072" spans="1:15" s="369" customFormat="1" ht="11.25" x14ac:dyDescent="0.25">
      <c r="A1072" s="362"/>
      <c r="B1072" s="363"/>
      <c r="C1072" s="364"/>
      <c r="D1072" s="365" t="s">
        <v>230</v>
      </c>
      <c r="E1072" s="366" t="s">
        <v>229</v>
      </c>
      <c r="F1072" s="367">
        <v>0.45</v>
      </c>
      <c r="G1072" s="35">
        <v>12.57</v>
      </c>
      <c r="H1072" s="133"/>
      <c r="I1072" s="35">
        <f>F1072*G1072</f>
        <v>5.6565000000000003</v>
      </c>
      <c r="J1072" s="134"/>
      <c r="K1072" s="133"/>
      <c r="L1072" s="35"/>
      <c r="M1072" s="134"/>
      <c r="N1072" s="115"/>
      <c r="O1072" s="358"/>
    </row>
    <row r="1073" spans="1:15" s="369" customFormat="1" ht="11.25" x14ac:dyDescent="0.25">
      <c r="A1073" s="362"/>
      <c r="B1073" s="363"/>
      <c r="C1073" s="364"/>
      <c r="D1073" s="365" t="s">
        <v>549</v>
      </c>
      <c r="E1073" s="366" t="s">
        <v>313</v>
      </c>
      <c r="F1073" s="367">
        <v>9.5000000000000001E-2</v>
      </c>
      <c r="G1073" s="35">
        <v>31.93</v>
      </c>
      <c r="H1073" s="133">
        <f>F1073*G1073</f>
        <v>3.03335</v>
      </c>
      <c r="I1073" s="35"/>
      <c r="J1073" s="134"/>
      <c r="K1073" s="133"/>
      <c r="L1073" s="35"/>
      <c r="M1073" s="134"/>
      <c r="N1073" s="114"/>
      <c r="O1073" s="370"/>
    </row>
    <row r="1074" spans="1:15" s="379" customFormat="1" ht="11.25" x14ac:dyDescent="0.25">
      <c r="A1074" s="362"/>
      <c r="B1074" s="363"/>
      <c r="C1074" s="364"/>
      <c r="D1074" s="365" t="str">
        <f>D1070</f>
        <v>Caixa de gordura de polietileno, 250 x 172 x 50mm - uma por copa.</v>
      </c>
      <c r="E1074" s="366" t="s">
        <v>227</v>
      </c>
      <c r="F1074" s="367">
        <v>1</v>
      </c>
      <c r="G1074" s="371">
        <v>37.130000000000003</v>
      </c>
      <c r="H1074" s="133">
        <f>F1074*G1074</f>
        <v>37.130000000000003</v>
      </c>
      <c r="I1074" s="372"/>
      <c r="J1074" s="373"/>
      <c r="K1074" s="374"/>
      <c r="L1074" s="375"/>
      <c r="M1074" s="376"/>
      <c r="N1074" s="377"/>
      <c r="O1074" s="378"/>
    </row>
    <row r="1075" spans="1:15" s="25" customFormat="1" ht="14.25" x14ac:dyDescent="0.2">
      <c r="A1075" s="166"/>
      <c r="B1075" s="160"/>
      <c r="C1075" s="31"/>
      <c r="D1075" s="146" t="s">
        <v>288</v>
      </c>
      <c r="E1075" s="32"/>
      <c r="F1075" s="147"/>
      <c r="G1075" s="33"/>
      <c r="H1075" s="129"/>
      <c r="I1075" s="29"/>
      <c r="J1075" s="130"/>
      <c r="K1075" s="33"/>
      <c r="L1075" s="33"/>
      <c r="M1075" s="136"/>
      <c r="N1075" s="115"/>
      <c r="O1075" s="115"/>
    </row>
    <row r="1076" spans="1:15" s="25" customFormat="1" ht="14.25" x14ac:dyDescent="0.2">
      <c r="A1076" s="167"/>
      <c r="B1076" s="149"/>
      <c r="C1076" s="152"/>
      <c r="D1076" s="154" t="s">
        <v>518</v>
      </c>
      <c r="E1076" s="152"/>
      <c r="F1076" s="113"/>
      <c r="G1076" s="145"/>
      <c r="H1076" s="127"/>
      <c r="I1076" s="37"/>
      <c r="J1076" s="128"/>
      <c r="K1076" s="179"/>
      <c r="L1076" s="37"/>
      <c r="M1076" s="128"/>
      <c r="N1076" s="113"/>
      <c r="O1076" s="113"/>
    </row>
    <row r="1077" spans="1:15" s="25" customFormat="1" ht="14.25" x14ac:dyDescent="0.2">
      <c r="A1077" s="166"/>
      <c r="B1077" s="160"/>
      <c r="C1077" s="31"/>
      <c r="D1077" s="146" t="s">
        <v>288</v>
      </c>
      <c r="E1077" s="32"/>
      <c r="F1077" s="147"/>
      <c r="G1077" s="33"/>
      <c r="H1077" s="129"/>
      <c r="I1077" s="29"/>
      <c r="J1077" s="130"/>
      <c r="K1077" s="33"/>
      <c r="L1077" s="33"/>
      <c r="M1077" s="136"/>
      <c r="N1077" s="115"/>
      <c r="O1077" s="115"/>
    </row>
    <row r="1078" spans="1:15" s="25" customFormat="1" ht="22.5" x14ac:dyDescent="0.2">
      <c r="A1078" s="581"/>
      <c r="B1078" s="582" t="s">
        <v>280</v>
      </c>
      <c r="C1078" s="583" t="s">
        <v>831</v>
      </c>
      <c r="D1078" s="584" t="s">
        <v>738</v>
      </c>
      <c r="E1078" s="583" t="s">
        <v>281</v>
      </c>
      <c r="F1078" s="585">
        <f>'MEMÓRIA DE CÁLCULO'!AL82</f>
        <v>1</v>
      </c>
      <c r="G1078" s="586"/>
      <c r="H1078" s="587">
        <v>69</v>
      </c>
      <c r="I1078" s="588">
        <v>30</v>
      </c>
      <c r="J1078" s="589">
        <f>H1078+I1078</f>
        <v>99</v>
      </c>
      <c r="K1078" s="587">
        <f>H1078*F1078</f>
        <v>69</v>
      </c>
      <c r="L1078" s="588">
        <f>I1078*F1078</f>
        <v>30</v>
      </c>
      <c r="M1078" s="589">
        <f>K1078+L1078</f>
        <v>99</v>
      </c>
      <c r="N1078" s="585">
        <f>M1078*$N$7</f>
        <v>24.314400000000003</v>
      </c>
      <c r="O1078" s="585">
        <f>ROUND(M1078+N1078,2)</f>
        <v>123.31</v>
      </c>
    </row>
    <row r="1079" spans="1:15" s="25" customFormat="1" ht="14.25" x14ac:dyDescent="0.2">
      <c r="A1079" s="166"/>
      <c r="B1079" s="160"/>
      <c r="C1079" s="31"/>
      <c r="D1079" s="146" t="s">
        <v>288</v>
      </c>
      <c r="E1079" s="32"/>
      <c r="F1079" s="147"/>
      <c r="G1079" s="33"/>
      <c r="H1079" s="129"/>
      <c r="I1079" s="29"/>
      <c r="J1079" s="130"/>
      <c r="K1079" s="33"/>
      <c r="L1079" s="33"/>
      <c r="M1079" s="136"/>
      <c r="N1079" s="115"/>
      <c r="O1079" s="115"/>
    </row>
    <row r="1080" spans="1:15" s="356" customFormat="1" ht="11.25" x14ac:dyDescent="0.2">
      <c r="A1080" s="413"/>
      <c r="B1080" s="414"/>
      <c r="C1080" s="415"/>
      <c r="D1080" s="416" t="s">
        <v>437</v>
      </c>
      <c r="E1080" s="417"/>
      <c r="F1080" s="418"/>
      <c r="G1080" s="419"/>
      <c r="H1080" s="420"/>
      <c r="I1080" s="421"/>
      <c r="J1080" s="422"/>
      <c r="K1080" s="420"/>
      <c r="L1080" s="421"/>
      <c r="M1080" s="422"/>
      <c r="N1080" s="423"/>
      <c r="O1080" s="423"/>
    </row>
    <row r="1081" spans="1:15" s="25" customFormat="1" ht="14.25" x14ac:dyDescent="0.2">
      <c r="A1081" s="166"/>
      <c r="B1081" s="160"/>
      <c r="C1081" s="31"/>
      <c r="D1081" s="146" t="s">
        <v>288</v>
      </c>
      <c r="E1081" s="32"/>
      <c r="F1081" s="147"/>
      <c r="G1081" s="33"/>
      <c r="H1081" s="129"/>
      <c r="I1081" s="29"/>
      <c r="J1081" s="130"/>
      <c r="K1081" s="129"/>
      <c r="L1081" s="29"/>
      <c r="M1081" s="130"/>
      <c r="N1081" s="115"/>
      <c r="O1081" s="115"/>
    </row>
    <row r="1082" spans="1:15" s="361" customFormat="1" ht="11.25" x14ac:dyDescent="0.2">
      <c r="A1082" s="359"/>
      <c r="B1082" s="149"/>
      <c r="C1082" s="152"/>
      <c r="D1082" s="154" t="s">
        <v>460</v>
      </c>
      <c r="E1082" s="152"/>
      <c r="F1082" s="113"/>
      <c r="G1082" s="145"/>
      <c r="H1082" s="127"/>
      <c r="I1082" s="37"/>
      <c r="J1082" s="128"/>
      <c r="K1082" s="127"/>
      <c r="L1082" s="37"/>
      <c r="M1082" s="128"/>
      <c r="N1082" s="113"/>
      <c r="O1082" s="360"/>
    </row>
    <row r="1083" spans="1:15" s="361" customFormat="1" ht="11.25" x14ac:dyDescent="0.2">
      <c r="A1083" s="359"/>
      <c r="B1083" s="149"/>
      <c r="C1083" s="152"/>
      <c r="D1083" s="154"/>
      <c r="E1083" s="152"/>
      <c r="F1083" s="113"/>
      <c r="G1083" s="145"/>
      <c r="H1083" s="127"/>
      <c r="I1083" s="179"/>
      <c r="J1083" s="128"/>
      <c r="K1083" s="127"/>
      <c r="L1083" s="37"/>
      <c r="M1083" s="128"/>
      <c r="N1083" s="113"/>
      <c r="O1083" s="360"/>
    </row>
    <row r="1084" spans="1:15" s="25" customFormat="1" ht="14.25" x14ac:dyDescent="0.2">
      <c r="A1084" s="581" t="s">
        <v>225</v>
      </c>
      <c r="B1084" s="582" t="s">
        <v>461</v>
      </c>
      <c r="C1084" s="583" t="s">
        <v>832</v>
      </c>
      <c r="D1084" s="584" t="s">
        <v>707</v>
      </c>
      <c r="E1084" s="583" t="s">
        <v>227</v>
      </c>
      <c r="F1084" s="585">
        <f>'MEMÓRIA DE CÁLCULO'!O104</f>
        <v>19</v>
      </c>
      <c r="G1084" s="586"/>
      <c r="H1084" s="588">
        <f>ROUND(SUM(H1085:H1090),2)</f>
        <v>29.91</v>
      </c>
      <c r="I1084" s="588">
        <f>ROUND(SUM(I1085:I1090),2)</f>
        <v>64.47</v>
      </c>
      <c r="J1084" s="589">
        <f>H1084+I1084</f>
        <v>94.38</v>
      </c>
      <c r="K1084" s="587">
        <f>H1084*F1084</f>
        <v>568.29</v>
      </c>
      <c r="L1084" s="588">
        <f>I1084*F1084</f>
        <v>1224.93</v>
      </c>
      <c r="M1084" s="589">
        <f>K1084+L1084</f>
        <v>1793.22</v>
      </c>
      <c r="N1084" s="585">
        <f>M1084*$N$7</f>
        <v>440.41483200000005</v>
      </c>
      <c r="O1084" s="585">
        <f>ROUND(M1084+N1084,2)</f>
        <v>2233.63</v>
      </c>
    </row>
    <row r="1085" spans="1:15" s="369" customFormat="1" ht="11.25" x14ac:dyDescent="0.25">
      <c r="A1085" s="362"/>
      <c r="B1085" s="363"/>
      <c r="C1085" s="364"/>
      <c r="D1085" s="365" t="s">
        <v>228</v>
      </c>
      <c r="E1085" s="366" t="s">
        <v>229</v>
      </c>
      <c r="F1085" s="367">
        <v>3</v>
      </c>
      <c r="G1085" s="35">
        <v>8.92</v>
      </c>
      <c r="H1085" s="133"/>
      <c r="I1085" s="35">
        <f>F1085*G1085</f>
        <v>26.759999999999998</v>
      </c>
      <c r="J1085" s="134"/>
      <c r="K1085" s="133"/>
      <c r="L1085" s="35"/>
      <c r="M1085" s="134"/>
      <c r="N1085" s="117"/>
      <c r="O1085" s="368"/>
    </row>
    <row r="1086" spans="1:15" s="369" customFormat="1" ht="11.25" x14ac:dyDescent="0.25">
      <c r="A1086" s="362"/>
      <c r="B1086" s="363"/>
      <c r="C1086" s="364"/>
      <c r="D1086" s="365" t="s">
        <v>230</v>
      </c>
      <c r="E1086" s="366" t="s">
        <v>229</v>
      </c>
      <c r="F1086" s="367">
        <v>3</v>
      </c>
      <c r="G1086" s="35">
        <v>12.57</v>
      </c>
      <c r="H1086" s="133"/>
      <c r="I1086" s="35">
        <f>F1086*G1086</f>
        <v>37.71</v>
      </c>
      <c r="J1086" s="134"/>
      <c r="K1086" s="133"/>
      <c r="L1086" s="35"/>
      <c r="M1086" s="134"/>
      <c r="N1086" s="115"/>
      <c r="O1086" s="358"/>
    </row>
    <row r="1087" spans="1:15" s="369" customFormat="1" ht="11.25" x14ac:dyDescent="0.25">
      <c r="A1087" s="362"/>
      <c r="B1087" s="363"/>
      <c r="C1087" s="364"/>
      <c r="D1087" s="365" t="s">
        <v>462</v>
      </c>
      <c r="E1087" s="366" t="s">
        <v>248</v>
      </c>
      <c r="F1087" s="367">
        <v>8</v>
      </c>
      <c r="G1087" s="35">
        <v>1.9</v>
      </c>
      <c r="H1087" s="133">
        <f>F1087*G1087</f>
        <v>15.2</v>
      </c>
      <c r="I1087" s="35"/>
      <c r="J1087" s="134"/>
      <c r="K1087" s="133"/>
      <c r="L1087" s="35"/>
      <c r="M1087" s="134"/>
      <c r="N1087" s="114"/>
      <c r="O1087" s="370"/>
    </row>
    <row r="1088" spans="1:15" s="379" customFormat="1" ht="22.5" x14ac:dyDescent="0.25">
      <c r="A1088" s="362"/>
      <c r="B1088" s="363"/>
      <c r="C1088" s="364"/>
      <c r="D1088" s="365" t="s">
        <v>463</v>
      </c>
      <c r="E1088" s="366" t="s">
        <v>227</v>
      </c>
      <c r="F1088" s="367">
        <v>1</v>
      </c>
      <c r="G1088" s="371">
        <v>2.0099999999999998</v>
      </c>
      <c r="H1088" s="133">
        <f>F1088*G1088</f>
        <v>2.0099999999999998</v>
      </c>
      <c r="I1088" s="372"/>
      <c r="J1088" s="373"/>
      <c r="K1088" s="374"/>
      <c r="L1088" s="375"/>
      <c r="M1088" s="376"/>
      <c r="N1088" s="377"/>
      <c r="O1088" s="378"/>
    </row>
    <row r="1089" spans="1:15" s="379" customFormat="1" ht="22.5" x14ac:dyDescent="0.25">
      <c r="A1089" s="362"/>
      <c r="B1089" s="363"/>
      <c r="C1089" s="364"/>
      <c r="D1089" s="365" t="s">
        <v>464</v>
      </c>
      <c r="E1089" s="366" t="s">
        <v>227</v>
      </c>
      <c r="F1089" s="367">
        <v>3</v>
      </c>
      <c r="G1089" s="371">
        <v>1.58</v>
      </c>
      <c r="H1089" s="133">
        <f>F1089*G1089</f>
        <v>4.74</v>
      </c>
      <c r="I1089" s="372"/>
      <c r="J1089" s="373"/>
      <c r="K1089" s="374"/>
      <c r="L1089" s="375"/>
      <c r="M1089" s="376"/>
      <c r="N1089" s="377"/>
      <c r="O1089" s="378"/>
    </row>
    <row r="1090" spans="1:15" s="379" customFormat="1" ht="22.5" x14ac:dyDescent="0.25">
      <c r="A1090" s="362"/>
      <c r="B1090" s="363"/>
      <c r="C1090" s="364"/>
      <c r="D1090" s="380" t="s">
        <v>465</v>
      </c>
      <c r="E1090" s="364" t="s">
        <v>227</v>
      </c>
      <c r="F1090" s="367">
        <v>1</v>
      </c>
      <c r="G1090" s="381">
        <v>7.96</v>
      </c>
      <c r="H1090" s="133">
        <f>F1090*G1090</f>
        <v>7.96</v>
      </c>
      <c r="I1090" s="382"/>
      <c r="J1090" s="373"/>
      <c r="K1090" s="374"/>
      <c r="L1090" s="375"/>
      <c r="M1090" s="376"/>
      <c r="N1090" s="377"/>
      <c r="O1090" s="378"/>
    </row>
    <row r="1091" spans="1:15" s="379" customFormat="1" ht="11.25" x14ac:dyDescent="0.25">
      <c r="A1091" s="362"/>
      <c r="B1091" s="363"/>
      <c r="C1091" s="364"/>
      <c r="D1091" s="365"/>
      <c r="E1091" s="366"/>
      <c r="F1091" s="380"/>
      <c r="G1091" s="383"/>
      <c r="H1091" s="384"/>
      <c r="I1091" s="372"/>
      <c r="J1091" s="373"/>
      <c r="K1091" s="374"/>
      <c r="L1091" s="375"/>
      <c r="M1091" s="376"/>
      <c r="N1091" s="377"/>
      <c r="O1091" s="378"/>
    </row>
    <row r="1092" spans="1:15" s="25" customFormat="1" ht="22.5" x14ac:dyDescent="0.2">
      <c r="A1092" s="581" t="s">
        <v>225</v>
      </c>
      <c r="B1092" s="582" t="s">
        <v>1018</v>
      </c>
      <c r="C1092" s="583" t="s">
        <v>833</v>
      </c>
      <c r="D1092" s="584" t="s">
        <v>739</v>
      </c>
      <c r="E1092" s="583" t="s">
        <v>227</v>
      </c>
      <c r="F1092" s="585">
        <f>'MEMÓRIA DE CÁLCULO'!P104</f>
        <v>1</v>
      </c>
      <c r="G1092" s="586"/>
      <c r="H1092" s="588">
        <f>ROUND(SUM(H1093:H1098),2)</f>
        <v>63.83</v>
      </c>
      <c r="I1092" s="588">
        <f>ROUND(SUM(I1093:I1098),2)</f>
        <v>64.47</v>
      </c>
      <c r="J1092" s="589">
        <f>H1092+I1092</f>
        <v>128.30000000000001</v>
      </c>
      <c r="K1092" s="587">
        <f>H1092*F1092</f>
        <v>63.83</v>
      </c>
      <c r="L1092" s="588">
        <f>I1092*F1092</f>
        <v>64.47</v>
      </c>
      <c r="M1092" s="589">
        <f>K1092+L1092</f>
        <v>128.30000000000001</v>
      </c>
      <c r="N1092" s="585">
        <f>M1092*$N$7</f>
        <v>31.510480000000005</v>
      </c>
      <c r="O1092" s="585">
        <f>ROUND(M1092+N1092,2)</f>
        <v>159.81</v>
      </c>
    </row>
    <row r="1093" spans="1:15" s="369" customFormat="1" ht="18.75" customHeight="1" x14ac:dyDescent="0.25">
      <c r="A1093" s="362"/>
      <c r="B1093" s="363"/>
      <c r="C1093" s="364"/>
      <c r="D1093" s="365" t="s">
        <v>228</v>
      </c>
      <c r="E1093" s="366" t="s">
        <v>229</v>
      </c>
      <c r="F1093" s="367">
        <v>3</v>
      </c>
      <c r="G1093" s="35">
        <v>8.92</v>
      </c>
      <c r="H1093" s="385"/>
      <c r="I1093" s="386">
        <f>F1093*G1093</f>
        <v>26.759999999999998</v>
      </c>
      <c r="J1093" s="387"/>
      <c r="K1093" s="374"/>
      <c r="L1093" s="388"/>
      <c r="M1093" s="389"/>
      <c r="N1093" s="390"/>
      <c r="O1093" s="363"/>
    </row>
    <row r="1094" spans="1:15" s="369" customFormat="1" ht="11.25" x14ac:dyDescent="0.25">
      <c r="A1094" s="362"/>
      <c r="B1094" s="363"/>
      <c r="C1094" s="364"/>
      <c r="D1094" s="365" t="s">
        <v>230</v>
      </c>
      <c r="E1094" s="366" t="s">
        <v>229</v>
      </c>
      <c r="F1094" s="367">
        <v>3</v>
      </c>
      <c r="G1094" s="35">
        <v>12.57</v>
      </c>
      <c r="H1094" s="385"/>
      <c r="I1094" s="386">
        <f>F1094*G1094</f>
        <v>37.71</v>
      </c>
      <c r="J1094" s="387"/>
      <c r="K1094" s="374"/>
      <c r="L1094" s="388"/>
      <c r="M1094" s="389"/>
      <c r="N1094" s="390"/>
      <c r="O1094" s="363"/>
    </row>
    <row r="1095" spans="1:15" s="369" customFormat="1" ht="18" customHeight="1" x14ac:dyDescent="0.25">
      <c r="A1095" s="391"/>
      <c r="B1095" s="392"/>
      <c r="C1095" s="366"/>
      <c r="D1095" s="365" t="s">
        <v>467</v>
      </c>
      <c r="E1095" s="366" t="s">
        <v>248</v>
      </c>
      <c r="F1095" s="367">
        <v>8</v>
      </c>
      <c r="G1095" s="371">
        <v>4.37</v>
      </c>
      <c r="H1095" s="385">
        <f>F1095*G1095</f>
        <v>34.96</v>
      </c>
      <c r="I1095" s="386"/>
      <c r="J1095" s="387"/>
      <c r="K1095" s="374"/>
      <c r="L1095" s="388"/>
      <c r="M1095" s="389"/>
      <c r="N1095" s="390"/>
      <c r="O1095" s="363"/>
    </row>
    <row r="1096" spans="1:15" s="369" customFormat="1" ht="21" customHeight="1" x14ac:dyDescent="0.25">
      <c r="A1096" s="362"/>
      <c r="B1096" s="363"/>
      <c r="C1096" s="364"/>
      <c r="D1096" s="380" t="s">
        <v>468</v>
      </c>
      <c r="E1096" s="366" t="s">
        <v>227</v>
      </c>
      <c r="F1096" s="367">
        <v>1</v>
      </c>
      <c r="G1096" s="381">
        <v>1.07</v>
      </c>
      <c r="H1096" s="385">
        <f>F1096*G1096</f>
        <v>1.07</v>
      </c>
      <c r="I1096" s="393"/>
      <c r="J1096" s="394"/>
      <c r="K1096" s="364"/>
      <c r="L1096" s="388"/>
      <c r="M1096" s="389"/>
      <c r="N1096" s="390"/>
      <c r="O1096" s="363"/>
    </row>
    <row r="1097" spans="1:15" s="369" customFormat="1" ht="31.5" customHeight="1" x14ac:dyDescent="0.25">
      <c r="A1097" s="362"/>
      <c r="B1097" s="363"/>
      <c r="C1097" s="364"/>
      <c r="D1097" s="380" t="s">
        <v>469</v>
      </c>
      <c r="E1097" s="366" t="s">
        <v>227</v>
      </c>
      <c r="F1097" s="367">
        <v>3</v>
      </c>
      <c r="G1097" s="381">
        <v>7.82</v>
      </c>
      <c r="H1097" s="385">
        <f>F1097*G1097</f>
        <v>23.46</v>
      </c>
      <c r="I1097" s="393"/>
      <c r="J1097" s="394"/>
      <c r="K1097" s="364"/>
      <c r="L1097" s="388"/>
      <c r="M1097" s="389"/>
      <c r="N1097" s="390"/>
      <c r="O1097" s="363"/>
    </row>
    <row r="1098" spans="1:15" s="369" customFormat="1" ht="30.75" customHeight="1" x14ac:dyDescent="0.25">
      <c r="A1098" s="362"/>
      <c r="B1098" s="363"/>
      <c r="C1098" s="364"/>
      <c r="D1098" s="380" t="s">
        <v>470</v>
      </c>
      <c r="E1098" s="366" t="s">
        <v>227</v>
      </c>
      <c r="F1098" s="367">
        <v>1</v>
      </c>
      <c r="G1098" s="381">
        <v>4.34</v>
      </c>
      <c r="H1098" s="385">
        <f>F1098*G1098</f>
        <v>4.34</v>
      </c>
      <c r="I1098" s="393"/>
      <c r="J1098" s="394"/>
      <c r="K1098" s="364"/>
      <c r="L1098" s="388"/>
      <c r="M1098" s="389"/>
      <c r="N1098" s="390"/>
      <c r="O1098" s="363"/>
    </row>
    <row r="1099" spans="1:15" s="369" customFormat="1" ht="11.25" x14ac:dyDescent="0.25">
      <c r="A1099" s="362"/>
      <c r="B1099" s="363"/>
      <c r="C1099" s="364"/>
      <c r="D1099" s="363"/>
      <c r="E1099" s="364"/>
      <c r="F1099" s="367"/>
      <c r="G1099" s="381"/>
      <c r="H1099" s="367"/>
      <c r="I1099" s="393"/>
      <c r="J1099" s="394"/>
      <c r="K1099" s="364"/>
      <c r="L1099" s="388"/>
      <c r="M1099" s="389"/>
      <c r="N1099" s="390"/>
      <c r="O1099" s="363"/>
    </row>
    <row r="1100" spans="1:15" s="25" customFormat="1" ht="14.25" x14ac:dyDescent="0.2">
      <c r="A1100" s="581" t="s">
        <v>225</v>
      </c>
      <c r="B1100" s="582" t="s">
        <v>471</v>
      </c>
      <c r="C1100" s="583" t="s">
        <v>834</v>
      </c>
      <c r="D1100" s="584" t="s">
        <v>709</v>
      </c>
      <c r="E1100" s="583" t="s">
        <v>227</v>
      </c>
      <c r="F1100" s="585">
        <f>'MEMÓRIA DE CÁLCULO'!Q104</f>
        <v>9</v>
      </c>
      <c r="G1100" s="586">
        <v>51.288494999999998</v>
      </c>
      <c r="H1100" s="588">
        <f>ROUND(SUM(H1101:H1106),2)</f>
        <v>73.27</v>
      </c>
      <c r="I1100" s="588">
        <f>ROUND(SUM(I1101:I1106),2)</f>
        <v>75.22</v>
      </c>
      <c r="J1100" s="589">
        <f>H1100+I1100</f>
        <v>148.49</v>
      </c>
      <c r="K1100" s="587">
        <f>H1100*F1100</f>
        <v>659.43</v>
      </c>
      <c r="L1100" s="588">
        <f>I1100*F1100</f>
        <v>676.98</v>
      </c>
      <c r="M1100" s="589">
        <f>K1100+L1100</f>
        <v>1336.4099999999999</v>
      </c>
      <c r="N1100" s="585">
        <f>M1100*$N$7</f>
        <v>328.22229599999997</v>
      </c>
      <c r="O1100" s="585">
        <f>ROUND(M1100+N1100,2)</f>
        <v>1664.63</v>
      </c>
    </row>
    <row r="1101" spans="1:15" s="379" customFormat="1" ht="24" customHeight="1" x14ac:dyDescent="0.25">
      <c r="A1101" s="362"/>
      <c r="B1101" s="363"/>
      <c r="C1101" s="364"/>
      <c r="D1101" s="380" t="s">
        <v>228</v>
      </c>
      <c r="E1101" s="364" t="s">
        <v>229</v>
      </c>
      <c r="F1101" s="367">
        <v>3.5</v>
      </c>
      <c r="G1101" s="35">
        <v>8.92</v>
      </c>
      <c r="H1101" s="385"/>
      <c r="I1101" s="386">
        <f>F1101*G1101</f>
        <v>31.22</v>
      </c>
      <c r="J1101" s="387"/>
      <c r="K1101" s="374"/>
      <c r="L1101" s="375"/>
      <c r="M1101" s="376"/>
      <c r="N1101" s="377"/>
      <c r="O1101" s="378"/>
    </row>
    <row r="1102" spans="1:15" s="379" customFormat="1" ht="11.25" x14ac:dyDescent="0.25">
      <c r="A1102" s="362"/>
      <c r="B1102" s="363"/>
      <c r="C1102" s="364"/>
      <c r="D1102" s="380" t="s">
        <v>230</v>
      </c>
      <c r="E1102" s="364" t="s">
        <v>229</v>
      </c>
      <c r="F1102" s="367">
        <v>3.5</v>
      </c>
      <c r="G1102" s="35">
        <v>12.57</v>
      </c>
      <c r="H1102" s="385"/>
      <c r="I1102" s="386">
        <f>F1102*G1102</f>
        <v>43.995000000000005</v>
      </c>
      <c r="J1102" s="387"/>
      <c r="K1102" s="374"/>
      <c r="L1102" s="375"/>
      <c r="M1102" s="376"/>
      <c r="N1102" s="377"/>
      <c r="O1102" s="378"/>
    </row>
    <row r="1103" spans="1:15" s="369" customFormat="1" ht="11.25" x14ac:dyDescent="0.25">
      <c r="A1103" s="362"/>
      <c r="B1103" s="363"/>
      <c r="C1103" s="364"/>
      <c r="D1103" s="380" t="s">
        <v>473</v>
      </c>
      <c r="E1103" s="364" t="s">
        <v>227</v>
      </c>
      <c r="F1103" s="367">
        <v>1</v>
      </c>
      <c r="G1103" s="371">
        <v>8.14</v>
      </c>
      <c r="H1103" s="385">
        <f>F1103*G1103</f>
        <v>8.14</v>
      </c>
      <c r="I1103" s="386"/>
      <c r="J1103" s="387"/>
      <c r="K1103" s="374"/>
      <c r="L1103" s="375"/>
      <c r="M1103" s="376"/>
      <c r="N1103" s="377"/>
      <c r="O1103" s="378"/>
    </row>
    <row r="1104" spans="1:15" s="369" customFormat="1" ht="11.25" x14ac:dyDescent="0.25">
      <c r="A1104" s="362"/>
      <c r="B1104" s="363"/>
      <c r="C1104" s="364"/>
      <c r="D1104" s="380" t="s">
        <v>474</v>
      </c>
      <c r="E1104" s="364" t="s">
        <v>248</v>
      </c>
      <c r="F1104" s="367">
        <v>6</v>
      </c>
      <c r="G1104" s="371">
        <v>7.19</v>
      </c>
      <c r="H1104" s="385">
        <f>F1104*G1104</f>
        <v>43.14</v>
      </c>
      <c r="I1104" s="386"/>
      <c r="J1104" s="387"/>
      <c r="K1104" s="374"/>
      <c r="L1104" s="375"/>
      <c r="M1104" s="376"/>
      <c r="N1104" s="377"/>
      <c r="O1104" s="378"/>
    </row>
    <row r="1105" spans="1:15" s="369" customFormat="1" ht="22.5" x14ac:dyDescent="0.25">
      <c r="A1105" s="362"/>
      <c r="B1105" s="363"/>
      <c r="C1105" s="364"/>
      <c r="D1105" s="380" t="s">
        <v>475</v>
      </c>
      <c r="E1105" s="364" t="s">
        <v>227</v>
      </c>
      <c r="F1105" s="367">
        <v>1</v>
      </c>
      <c r="G1105" s="371">
        <v>12.83</v>
      </c>
      <c r="H1105" s="385">
        <f>F1105*G1105</f>
        <v>12.83</v>
      </c>
      <c r="I1105" s="386"/>
      <c r="J1105" s="387"/>
      <c r="K1105" s="374"/>
      <c r="L1105" s="375"/>
      <c r="M1105" s="376"/>
      <c r="N1105" s="377"/>
      <c r="O1105" s="378"/>
    </row>
    <row r="1106" spans="1:15" s="369" customFormat="1" ht="22.5" x14ac:dyDescent="0.25">
      <c r="A1106" s="362"/>
      <c r="B1106" s="363"/>
      <c r="C1106" s="364"/>
      <c r="D1106" s="380" t="s">
        <v>476</v>
      </c>
      <c r="E1106" s="364" t="s">
        <v>227</v>
      </c>
      <c r="F1106" s="367">
        <v>2</v>
      </c>
      <c r="G1106" s="371">
        <v>4.58</v>
      </c>
      <c r="H1106" s="385">
        <f>F1106*G1106</f>
        <v>9.16</v>
      </c>
      <c r="I1106" s="386"/>
      <c r="J1106" s="387"/>
      <c r="K1106" s="374"/>
      <c r="L1106" s="375"/>
      <c r="M1106" s="376"/>
      <c r="N1106" s="377"/>
      <c r="O1106" s="378"/>
    </row>
    <row r="1107" spans="1:15" s="369" customFormat="1" ht="11.25" x14ac:dyDescent="0.25">
      <c r="A1107" s="362"/>
      <c r="B1107" s="363"/>
      <c r="C1107" s="364"/>
      <c r="D1107" s="363"/>
      <c r="E1107" s="364"/>
      <c r="F1107" s="367"/>
      <c r="G1107" s="367"/>
      <c r="H1107" s="367"/>
      <c r="I1107" s="393"/>
      <c r="J1107" s="394"/>
      <c r="K1107" s="364"/>
      <c r="L1107" s="388"/>
      <c r="M1107" s="389"/>
      <c r="N1107" s="390"/>
      <c r="O1107" s="363"/>
    </row>
    <row r="1108" spans="1:15" s="25" customFormat="1" ht="14.25" x14ac:dyDescent="0.2">
      <c r="A1108" s="581" t="s">
        <v>225</v>
      </c>
      <c r="B1108" s="582" t="s">
        <v>477</v>
      </c>
      <c r="C1108" s="583" t="s">
        <v>835</v>
      </c>
      <c r="D1108" s="584" t="s">
        <v>740</v>
      </c>
      <c r="E1108" s="583" t="s">
        <v>227</v>
      </c>
      <c r="F1108" s="585">
        <f>'MEMÓRIA DE CÁLCULO'!R104</f>
        <v>11</v>
      </c>
      <c r="G1108" s="586"/>
      <c r="H1108" s="588">
        <f>ROUND(SUM(H1109:H1114),2)</f>
        <v>35.56</v>
      </c>
      <c r="I1108" s="588">
        <f>ROUND(SUM(I1109:I1114),2)</f>
        <v>64.47</v>
      </c>
      <c r="J1108" s="589">
        <f>H1108+I1108</f>
        <v>100.03</v>
      </c>
      <c r="K1108" s="587">
        <f>H1108*F1108</f>
        <v>391.16</v>
      </c>
      <c r="L1108" s="588">
        <f>I1108*F1108</f>
        <v>709.17</v>
      </c>
      <c r="M1108" s="589">
        <f>K1108+L1108</f>
        <v>1100.33</v>
      </c>
      <c r="N1108" s="585">
        <f>M1108*$N$7</f>
        <v>270.24104799999998</v>
      </c>
      <c r="O1108" s="585">
        <f>ROUND(M1108+N1108,2)</f>
        <v>1370.57</v>
      </c>
    </row>
    <row r="1109" spans="1:15" s="369" customFormat="1" ht="11.25" x14ac:dyDescent="0.25">
      <c r="A1109" s="362"/>
      <c r="B1109" s="363"/>
      <c r="C1109" s="364"/>
      <c r="D1109" s="380" t="s">
        <v>228</v>
      </c>
      <c r="E1109" s="364" t="s">
        <v>229</v>
      </c>
      <c r="F1109" s="367">
        <v>3</v>
      </c>
      <c r="G1109" s="371">
        <v>8.92</v>
      </c>
      <c r="H1109" s="385"/>
      <c r="I1109" s="386">
        <f>F1109*G1109</f>
        <v>26.759999999999998</v>
      </c>
      <c r="J1109" s="387"/>
      <c r="K1109" s="374"/>
      <c r="L1109" s="375"/>
      <c r="M1109" s="376"/>
      <c r="N1109" s="377"/>
      <c r="O1109" s="378"/>
    </row>
    <row r="1110" spans="1:15" s="369" customFormat="1" ht="11.25" x14ac:dyDescent="0.25">
      <c r="A1110" s="362"/>
      <c r="B1110" s="363"/>
      <c r="C1110" s="364"/>
      <c r="D1110" s="380" t="s">
        <v>230</v>
      </c>
      <c r="E1110" s="364" t="s">
        <v>229</v>
      </c>
      <c r="F1110" s="367">
        <v>3</v>
      </c>
      <c r="G1110" s="371">
        <v>12.57</v>
      </c>
      <c r="H1110" s="385"/>
      <c r="I1110" s="386">
        <f>F1110*G1110</f>
        <v>37.71</v>
      </c>
      <c r="J1110" s="387"/>
      <c r="K1110" s="374"/>
      <c r="L1110" s="375"/>
      <c r="M1110" s="376"/>
      <c r="N1110" s="377"/>
      <c r="O1110" s="378"/>
    </row>
    <row r="1111" spans="1:15" s="369" customFormat="1" ht="15" customHeight="1" x14ac:dyDescent="0.25">
      <c r="A1111" s="362"/>
      <c r="B1111" s="363"/>
      <c r="C1111" s="364"/>
      <c r="D1111" s="380" t="s">
        <v>479</v>
      </c>
      <c r="E1111" s="364" t="s">
        <v>248</v>
      </c>
      <c r="F1111" s="367">
        <v>6</v>
      </c>
      <c r="G1111" s="371">
        <v>3.62</v>
      </c>
      <c r="H1111" s="385">
        <f>F1111*G1111</f>
        <v>21.72</v>
      </c>
      <c r="I1111" s="386"/>
      <c r="J1111" s="387"/>
      <c r="K1111" s="374"/>
      <c r="L1111" s="375"/>
      <c r="M1111" s="376"/>
      <c r="N1111" s="377"/>
      <c r="O1111" s="378"/>
    </row>
    <row r="1112" spans="1:15" s="369" customFormat="1" ht="15" customHeight="1" x14ac:dyDescent="0.25">
      <c r="A1112" s="362"/>
      <c r="B1112" s="363"/>
      <c r="C1112" s="364"/>
      <c r="D1112" s="380" t="s">
        <v>480</v>
      </c>
      <c r="E1112" s="364" t="s">
        <v>227</v>
      </c>
      <c r="F1112" s="367">
        <v>1</v>
      </c>
      <c r="G1112" s="371">
        <v>8.3800000000000008</v>
      </c>
      <c r="H1112" s="385">
        <f>F1112*G1112</f>
        <v>8.3800000000000008</v>
      </c>
      <c r="I1112" s="386"/>
      <c r="J1112" s="387"/>
      <c r="K1112" s="374"/>
      <c r="L1112" s="375"/>
      <c r="M1112" s="376"/>
      <c r="N1112" s="377"/>
      <c r="O1112" s="378"/>
    </row>
    <row r="1113" spans="1:15" s="369" customFormat="1" ht="22.5" x14ac:dyDescent="0.25">
      <c r="A1113" s="362"/>
      <c r="B1113" s="363"/>
      <c r="C1113" s="364"/>
      <c r="D1113" s="380" t="s">
        <v>481</v>
      </c>
      <c r="E1113" s="364" t="s">
        <v>227</v>
      </c>
      <c r="F1113" s="367">
        <v>1</v>
      </c>
      <c r="G1113" s="381">
        <v>2.82</v>
      </c>
      <c r="H1113" s="385">
        <f>F1113*G1113</f>
        <v>2.82</v>
      </c>
      <c r="I1113" s="386"/>
      <c r="J1113" s="387"/>
      <c r="K1113" s="374"/>
      <c r="L1113" s="375"/>
      <c r="M1113" s="376"/>
      <c r="N1113" s="377"/>
      <c r="O1113" s="378"/>
    </row>
    <row r="1114" spans="1:15" s="369" customFormat="1" ht="15" customHeight="1" x14ac:dyDescent="0.25">
      <c r="A1114" s="395"/>
      <c r="B1114" s="380"/>
      <c r="C1114" s="396"/>
      <c r="D1114" s="380" t="s">
        <v>482</v>
      </c>
      <c r="E1114" s="396" t="s">
        <v>227</v>
      </c>
      <c r="F1114" s="367">
        <v>2</v>
      </c>
      <c r="G1114" s="381">
        <v>1.32</v>
      </c>
      <c r="H1114" s="385">
        <f>F1114*G1114</f>
        <v>2.64</v>
      </c>
      <c r="I1114" s="393"/>
      <c r="J1114" s="394"/>
      <c r="K1114" s="396"/>
      <c r="L1114" s="375"/>
      <c r="M1114" s="376"/>
      <c r="N1114" s="377"/>
      <c r="O1114" s="378"/>
    </row>
    <row r="1115" spans="1:15" s="369" customFormat="1" ht="15" customHeight="1" x14ac:dyDescent="0.25">
      <c r="A1115" s="395"/>
      <c r="B1115" s="380"/>
      <c r="C1115" s="396"/>
      <c r="D1115" s="380"/>
      <c r="E1115" s="396"/>
      <c r="F1115" s="367"/>
      <c r="G1115" s="381"/>
      <c r="H1115" s="397"/>
      <c r="I1115" s="393"/>
      <c r="J1115" s="394"/>
      <c r="K1115" s="396"/>
      <c r="L1115" s="372"/>
      <c r="M1115" s="373"/>
      <c r="N1115" s="398"/>
      <c r="O1115" s="378"/>
    </row>
    <row r="1116" spans="1:15" s="25" customFormat="1" ht="14.25" x14ac:dyDescent="0.2">
      <c r="A1116" s="167"/>
      <c r="B1116" s="149"/>
      <c r="C1116" s="152"/>
      <c r="D1116" s="154" t="s">
        <v>213</v>
      </c>
      <c r="E1116" s="152"/>
      <c r="F1116" s="113"/>
      <c r="G1116" s="145"/>
      <c r="H1116" s="127"/>
      <c r="I1116" s="37"/>
      <c r="J1116" s="128"/>
      <c r="K1116" s="179"/>
      <c r="L1116" s="37"/>
      <c r="M1116" s="128"/>
      <c r="N1116" s="113"/>
      <c r="O1116" s="113"/>
    </row>
    <row r="1117" spans="1:15" s="25" customFormat="1" ht="14.25" x14ac:dyDescent="0.2">
      <c r="A1117" s="166"/>
      <c r="B1117" s="160"/>
      <c r="C1117" s="31"/>
      <c r="D1117" s="146" t="s">
        <v>288</v>
      </c>
      <c r="E1117" s="32"/>
      <c r="F1117" s="147"/>
      <c r="G1117" s="33"/>
      <c r="H1117" s="129"/>
      <c r="I1117" s="29"/>
      <c r="J1117" s="130"/>
      <c r="K1117" s="33"/>
      <c r="L1117" s="33"/>
      <c r="M1117" s="136"/>
      <c r="N1117" s="115"/>
      <c r="O1117" s="115"/>
    </row>
    <row r="1118" spans="1:15" s="25" customFormat="1" ht="22.5" x14ac:dyDescent="0.2">
      <c r="A1118" s="581" t="s">
        <v>277</v>
      </c>
      <c r="B1118" s="582" t="s">
        <v>214</v>
      </c>
      <c r="C1118" s="583" t="s">
        <v>836</v>
      </c>
      <c r="D1118" s="584" t="s">
        <v>714</v>
      </c>
      <c r="E1118" s="583" t="s">
        <v>281</v>
      </c>
      <c r="F1118" s="585">
        <f>'MEMÓRIA DE CÁLCULO'!AK82</f>
        <v>1</v>
      </c>
      <c r="G1118" s="586"/>
      <c r="H1118" s="587">
        <v>100.95</v>
      </c>
      <c r="I1118" s="588">
        <v>19.5</v>
      </c>
      <c r="J1118" s="589">
        <f>H1118+I1118</f>
        <v>120.45</v>
      </c>
      <c r="K1118" s="587">
        <f>H1118*F1118</f>
        <v>100.95</v>
      </c>
      <c r="L1118" s="588">
        <f>I1118*F1118</f>
        <v>19.5</v>
      </c>
      <c r="M1118" s="589">
        <f>K1118+L1118</f>
        <v>120.45</v>
      </c>
      <c r="N1118" s="585">
        <f>M1118*$N$7</f>
        <v>29.582520000000002</v>
      </c>
      <c r="O1118" s="585">
        <f>ROUND(M1118+N1118,2)</f>
        <v>150.03</v>
      </c>
    </row>
    <row r="1119" spans="1:15" s="25" customFormat="1" ht="14.25" x14ac:dyDescent="0.2">
      <c r="A1119" s="166"/>
      <c r="B1119" s="160"/>
      <c r="C1119" s="31"/>
      <c r="D1119" s="146" t="s">
        <v>288</v>
      </c>
      <c r="E1119" s="32"/>
      <c r="F1119" s="147"/>
      <c r="G1119" s="33"/>
      <c r="H1119" s="129"/>
      <c r="I1119" s="29"/>
      <c r="J1119" s="130"/>
      <c r="K1119" s="33"/>
      <c r="L1119" s="33"/>
      <c r="M1119" s="136"/>
      <c r="N1119" s="115"/>
      <c r="O1119" s="115"/>
    </row>
    <row r="1120" spans="1:15" s="25" customFormat="1" ht="22.5" x14ac:dyDescent="0.2">
      <c r="A1120" s="581" t="s">
        <v>277</v>
      </c>
      <c r="B1120" s="582" t="s">
        <v>215</v>
      </c>
      <c r="C1120" s="583" t="s">
        <v>837</v>
      </c>
      <c r="D1120" s="584" t="s">
        <v>715</v>
      </c>
      <c r="E1120" s="583" t="s">
        <v>281</v>
      </c>
      <c r="F1120" s="585">
        <f>'MEMÓRIA DE CÁLCULO'!AJ82</f>
        <v>7</v>
      </c>
      <c r="G1120" s="586"/>
      <c r="H1120" s="587">
        <v>53.08</v>
      </c>
      <c r="I1120" s="588">
        <v>12.52</v>
      </c>
      <c r="J1120" s="589">
        <f>H1120+I1120</f>
        <v>65.599999999999994</v>
      </c>
      <c r="K1120" s="587">
        <f>H1120*F1120</f>
        <v>371.56</v>
      </c>
      <c r="L1120" s="588">
        <f>I1120*F1120</f>
        <v>87.64</v>
      </c>
      <c r="M1120" s="589">
        <f>K1120+L1120</f>
        <v>459.2</v>
      </c>
      <c r="N1120" s="585">
        <f>M1120*$N$7</f>
        <v>112.77952000000001</v>
      </c>
      <c r="O1120" s="585">
        <f>ROUND(M1120+N1120,2)</f>
        <v>571.98</v>
      </c>
    </row>
    <row r="1121" spans="1:15" s="25" customFormat="1" ht="14.25" x14ac:dyDescent="0.2">
      <c r="A1121" s="166"/>
      <c r="B1121" s="160"/>
      <c r="C1121" s="31"/>
      <c r="D1121" s="146" t="s">
        <v>288</v>
      </c>
      <c r="E1121" s="32"/>
      <c r="F1121" s="147"/>
      <c r="G1121" s="33"/>
      <c r="H1121" s="129"/>
      <c r="I1121" s="29"/>
      <c r="J1121" s="130"/>
      <c r="K1121" s="33"/>
      <c r="L1121" s="33"/>
      <c r="M1121" s="136"/>
      <c r="N1121" s="115"/>
      <c r="O1121" s="115"/>
    </row>
    <row r="1122" spans="1:15" s="25" customFormat="1" ht="14.25" x14ac:dyDescent="0.2">
      <c r="A1122" s="167"/>
      <c r="B1122" s="149"/>
      <c r="C1122" s="152"/>
      <c r="D1122" s="154" t="s">
        <v>224</v>
      </c>
      <c r="E1122" s="152"/>
      <c r="F1122" s="113"/>
      <c r="G1122" s="145"/>
      <c r="H1122" s="127"/>
      <c r="I1122" s="37"/>
      <c r="J1122" s="128"/>
      <c r="K1122" s="179"/>
      <c r="L1122" s="37"/>
      <c r="M1122" s="128"/>
      <c r="N1122" s="113"/>
      <c r="O1122" s="113"/>
    </row>
    <row r="1123" spans="1:15" s="25" customFormat="1" ht="14.25" x14ac:dyDescent="0.2">
      <c r="A1123" s="166"/>
      <c r="B1123" s="160"/>
      <c r="C1123" s="31"/>
      <c r="D1123" s="146"/>
      <c r="E1123" s="32"/>
      <c r="F1123" s="147"/>
      <c r="G1123" s="33"/>
      <c r="H1123" s="129"/>
      <c r="I1123" s="29"/>
      <c r="J1123" s="130"/>
      <c r="K1123" s="33"/>
      <c r="L1123" s="33"/>
      <c r="M1123" s="136"/>
      <c r="N1123" s="115"/>
      <c r="O1123" s="115"/>
    </row>
    <row r="1124" spans="1:15" s="25" customFormat="1" ht="22.5" x14ac:dyDescent="0.2">
      <c r="A1124" s="581" t="s">
        <v>225</v>
      </c>
      <c r="B1124" s="582" t="s">
        <v>142</v>
      </c>
      <c r="C1124" s="583" t="s">
        <v>838</v>
      </c>
      <c r="D1124" s="584" t="s">
        <v>719</v>
      </c>
      <c r="E1124" s="583" t="s">
        <v>227</v>
      </c>
      <c r="F1124" s="585">
        <f>'MEMÓRIA DE CÁLCULO'!U104</f>
        <v>1</v>
      </c>
      <c r="G1124" s="586"/>
      <c r="H1124" s="588">
        <f>ROUND(SUM(H1125:H1135),2)</f>
        <v>507.88</v>
      </c>
      <c r="I1124" s="588">
        <f>ROUND(SUM(I1125:I1135),2)</f>
        <v>70.92</v>
      </c>
      <c r="J1124" s="589">
        <f>H1124+I1124</f>
        <v>578.79999999999995</v>
      </c>
      <c r="K1124" s="587">
        <f>H1124*F1124</f>
        <v>507.88</v>
      </c>
      <c r="L1124" s="588">
        <f>I1124*F1124</f>
        <v>70.92</v>
      </c>
      <c r="M1124" s="589">
        <f>K1124+L1124</f>
        <v>578.79999999999995</v>
      </c>
      <c r="N1124" s="585">
        <f>M1124*$N$7</f>
        <v>142.15328</v>
      </c>
      <c r="O1124" s="585">
        <f>ROUND(M1124+N1124,2)</f>
        <v>720.95</v>
      </c>
    </row>
    <row r="1125" spans="1:15" s="25" customFormat="1" ht="14.25" x14ac:dyDescent="0.2">
      <c r="A1125" s="168"/>
      <c r="B1125" s="159"/>
      <c r="C1125" s="34"/>
      <c r="D1125" s="153" t="s">
        <v>228</v>
      </c>
      <c r="E1125" s="34" t="s">
        <v>229</v>
      </c>
      <c r="F1125" s="148">
        <v>3.3</v>
      </c>
      <c r="G1125" s="35">
        <v>8.92</v>
      </c>
      <c r="H1125" s="131"/>
      <c r="I1125" s="30">
        <f>F1125*G1125</f>
        <v>29.436</v>
      </c>
      <c r="J1125" s="132"/>
      <c r="K1125" s="35"/>
      <c r="L1125" s="35"/>
      <c r="M1125" s="134"/>
      <c r="N1125" s="114"/>
      <c r="O1125" s="114"/>
    </row>
    <row r="1126" spans="1:15" s="25" customFormat="1" ht="14.25" x14ac:dyDescent="0.2">
      <c r="A1126" s="168"/>
      <c r="B1126" s="159"/>
      <c r="C1126" s="34"/>
      <c r="D1126" s="153" t="s">
        <v>230</v>
      </c>
      <c r="E1126" s="34" t="s">
        <v>229</v>
      </c>
      <c r="F1126" s="148">
        <v>3.3</v>
      </c>
      <c r="G1126" s="35">
        <v>12.57</v>
      </c>
      <c r="H1126" s="131"/>
      <c r="I1126" s="30">
        <f>F1126*G1126</f>
        <v>41.481000000000002</v>
      </c>
      <c r="J1126" s="132"/>
      <c r="K1126" s="35"/>
      <c r="L1126" s="35"/>
      <c r="M1126" s="134"/>
      <c r="N1126" s="114"/>
      <c r="O1126" s="114"/>
    </row>
    <row r="1127" spans="1:15" s="25" customFormat="1" ht="22.5" x14ac:dyDescent="0.2">
      <c r="A1127" s="168"/>
      <c r="B1127" s="159"/>
      <c r="C1127" s="34"/>
      <c r="D1127" s="153" t="s">
        <v>231</v>
      </c>
      <c r="E1127" s="34" t="s">
        <v>227</v>
      </c>
      <c r="F1127" s="148">
        <v>1</v>
      </c>
      <c r="G1127" s="35">
        <v>4.58</v>
      </c>
      <c r="H1127" s="131">
        <f t="shared" ref="H1127:H1135" si="13">F1127*G1127</f>
        <v>4.58</v>
      </c>
      <c r="I1127" s="30"/>
      <c r="J1127" s="132"/>
      <c r="K1127" s="35"/>
      <c r="L1127" s="35"/>
      <c r="M1127" s="134"/>
      <c r="N1127" s="114"/>
      <c r="O1127" s="114"/>
    </row>
    <row r="1128" spans="1:15" s="25" customFormat="1" ht="14.25" x14ac:dyDescent="0.2">
      <c r="A1128" s="168"/>
      <c r="B1128" s="159"/>
      <c r="C1128" s="85" t="s">
        <v>203</v>
      </c>
      <c r="D1128" s="153" t="s">
        <v>147</v>
      </c>
      <c r="E1128" s="34" t="s">
        <v>227</v>
      </c>
      <c r="F1128" s="148">
        <v>1</v>
      </c>
      <c r="G1128" s="35">
        <v>102.02</v>
      </c>
      <c r="H1128" s="131">
        <f t="shared" si="13"/>
        <v>102.02</v>
      </c>
      <c r="I1128" s="30"/>
      <c r="J1128" s="132"/>
      <c r="K1128" s="35"/>
      <c r="L1128" s="35"/>
      <c r="M1128" s="134"/>
      <c r="N1128" s="114"/>
      <c r="O1128" s="114"/>
    </row>
    <row r="1129" spans="1:15" s="25" customFormat="1" ht="14.25" x14ac:dyDescent="0.2">
      <c r="A1129" s="168"/>
      <c r="B1129" s="159"/>
      <c r="C1129" s="34"/>
      <c r="D1129" s="153" t="s">
        <v>143</v>
      </c>
      <c r="E1129" s="34" t="s">
        <v>227</v>
      </c>
      <c r="F1129" s="148">
        <v>1</v>
      </c>
      <c r="G1129" s="35">
        <v>5.88</v>
      </c>
      <c r="H1129" s="131">
        <f t="shared" si="13"/>
        <v>5.88</v>
      </c>
      <c r="I1129" s="30"/>
      <c r="J1129" s="132"/>
      <c r="K1129" s="35"/>
      <c r="L1129" s="35"/>
      <c r="M1129" s="134"/>
      <c r="N1129" s="114"/>
      <c r="O1129" s="114"/>
    </row>
    <row r="1130" spans="1:15" s="25" customFormat="1" ht="22.5" x14ac:dyDescent="0.2">
      <c r="A1130" s="168"/>
      <c r="B1130" s="159"/>
      <c r="C1130" s="34"/>
      <c r="D1130" s="153" t="s">
        <v>144</v>
      </c>
      <c r="E1130" s="34" t="s">
        <v>227</v>
      </c>
      <c r="F1130" s="148">
        <v>1</v>
      </c>
      <c r="G1130" s="35">
        <v>25.92</v>
      </c>
      <c r="H1130" s="131">
        <f t="shared" si="13"/>
        <v>25.92</v>
      </c>
      <c r="I1130" s="30"/>
      <c r="J1130" s="132"/>
      <c r="K1130" s="35"/>
      <c r="L1130" s="35"/>
      <c r="M1130" s="134"/>
      <c r="N1130" s="114"/>
      <c r="O1130" s="114"/>
    </row>
    <row r="1131" spans="1:15" s="25" customFormat="1" ht="14.25" x14ac:dyDescent="0.2">
      <c r="A1131" s="168"/>
      <c r="B1131" s="159"/>
      <c r="C1131" s="34"/>
      <c r="D1131" s="153" t="s">
        <v>145</v>
      </c>
      <c r="E1131" s="34" t="s">
        <v>227</v>
      </c>
      <c r="F1131" s="148">
        <v>1</v>
      </c>
      <c r="G1131" s="35">
        <v>1.92</v>
      </c>
      <c r="H1131" s="131">
        <f t="shared" si="13"/>
        <v>1.92</v>
      </c>
      <c r="I1131" s="30"/>
      <c r="J1131" s="132"/>
      <c r="K1131" s="35"/>
      <c r="L1131" s="35"/>
      <c r="M1131" s="134"/>
      <c r="N1131" s="114"/>
      <c r="O1131" s="114"/>
    </row>
    <row r="1132" spans="1:15" s="25" customFormat="1" ht="14.25" x14ac:dyDescent="0.2">
      <c r="A1132" s="168"/>
      <c r="B1132" s="159"/>
      <c r="C1132" s="85" t="s">
        <v>203</v>
      </c>
      <c r="D1132" s="153" t="s">
        <v>146</v>
      </c>
      <c r="E1132" s="34" t="s">
        <v>227</v>
      </c>
      <c r="F1132" s="148">
        <v>1</v>
      </c>
      <c r="G1132" s="35">
        <v>362</v>
      </c>
      <c r="H1132" s="131">
        <f t="shared" si="13"/>
        <v>362</v>
      </c>
      <c r="I1132" s="30"/>
      <c r="J1132" s="132"/>
      <c r="K1132" s="35"/>
      <c r="L1132" s="35"/>
      <c r="M1132" s="134"/>
      <c r="N1132" s="114"/>
      <c r="O1132" s="114"/>
    </row>
    <row r="1133" spans="1:15" s="25" customFormat="1" ht="14.25" x14ac:dyDescent="0.2">
      <c r="A1133" s="168"/>
      <c r="B1133" s="159"/>
      <c r="C1133" s="34"/>
      <c r="D1133" s="153" t="s">
        <v>218</v>
      </c>
      <c r="E1133" s="34" t="s">
        <v>237</v>
      </c>
      <c r="F1133" s="148">
        <v>0.25</v>
      </c>
      <c r="G1133" s="35">
        <v>2</v>
      </c>
      <c r="H1133" s="131">
        <f t="shared" si="13"/>
        <v>0.5</v>
      </c>
      <c r="I1133" s="30"/>
      <c r="J1133" s="132"/>
      <c r="K1133" s="35"/>
      <c r="L1133" s="35"/>
      <c r="M1133" s="134"/>
      <c r="N1133" s="114"/>
      <c r="O1133" s="114"/>
    </row>
    <row r="1134" spans="1:15" s="25" customFormat="1" ht="14.25" x14ac:dyDescent="0.2">
      <c r="A1134" s="168"/>
      <c r="B1134" s="159"/>
      <c r="C1134" s="34"/>
      <c r="D1134" s="153" t="s">
        <v>232</v>
      </c>
      <c r="E1134" s="34" t="s">
        <v>227</v>
      </c>
      <c r="F1134" s="148">
        <v>2</v>
      </c>
      <c r="G1134" s="35">
        <v>2.2000000000000002</v>
      </c>
      <c r="H1134" s="131">
        <f t="shared" si="13"/>
        <v>4.4000000000000004</v>
      </c>
      <c r="I1134" s="30"/>
      <c r="J1134" s="132"/>
      <c r="K1134" s="35"/>
      <c r="L1134" s="35"/>
      <c r="M1134" s="134"/>
      <c r="N1134" s="114"/>
      <c r="O1134" s="114"/>
    </row>
    <row r="1135" spans="1:15" s="25" customFormat="1" ht="33.75" x14ac:dyDescent="0.2">
      <c r="A1135" s="168"/>
      <c r="B1135" s="159"/>
      <c r="C1135" s="34"/>
      <c r="D1135" s="153" t="s">
        <v>235</v>
      </c>
      <c r="E1135" s="34" t="s">
        <v>227</v>
      </c>
      <c r="F1135" s="148">
        <v>2</v>
      </c>
      <c r="G1135" s="35">
        <v>0.33</v>
      </c>
      <c r="H1135" s="131">
        <f t="shared" si="13"/>
        <v>0.66</v>
      </c>
      <c r="I1135" s="30"/>
      <c r="J1135" s="132"/>
      <c r="K1135" s="35"/>
      <c r="L1135" s="35"/>
      <c r="M1135" s="134"/>
      <c r="N1135" s="114"/>
      <c r="O1135" s="114"/>
    </row>
    <row r="1136" spans="1:15" s="25" customFormat="1" ht="14.25" x14ac:dyDescent="0.2">
      <c r="A1136" s="168"/>
      <c r="B1136" s="159"/>
      <c r="C1136" s="34"/>
      <c r="D1136" s="153"/>
      <c r="E1136" s="34"/>
      <c r="F1136" s="148"/>
      <c r="G1136" s="35"/>
      <c r="H1136" s="131"/>
      <c r="I1136" s="30"/>
      <c r="J1136" s="132"/>
      <c r="K1136" s="35"/>
      <c r="L1136" s="35"/>
      <c r="M1136" s="134"/>
      <c r="N1136" s="114"/>
      <c r="O1136" s="114"/>
    </row>
    <row r="1137" spans="1:15" s="25" customFormat="1" ht="22.5" x14ac:dyDescent="0.2">
      <c r="A1137" s="581" t="s">
        <v>225</v>
      </c>
      <c r="B1137" s="582" t="s">
        <v>226</v>
      </c>
      <c r="C1137" s="583" t="s">
        <v>839</v>
      </c>
      <c r="D1137" s="584" t="s">
        <v>720</v>
      </c>
      <c r="E1137" s="583" t="s">
        <v>227</v>
      </c>
      <c r="F1137" s="585">
        <f>'MEMÓRIA DE CÁLCULO'!S104</f>
        <v>8</v>
      </c>
      <c r="G1137" s="586"/>
      <c r="H1137" s="588">
        <f>ROUND(SUM(H1138:H1148),2)</f>
        <v>355.03</v>
      </c>
      <c r="I1137" s="588">
        <f>ROUND(SUM(I1138:I1148),2)</f>
        <v>64.47</v>
      </c>
      <c r="J1137" s="589">
        <f>H1137+I1137</f>
        <v>419.5</v>
      </c>
      <c r="K1137" s="587">
        <f>H1137*F1137</f>
        <v>2840.24</v>
      </c>
      <c r="L1137" s="588">
        <f>I1137*F1137</f>
        <v>515.76</v>
      </c>
      <c r="M1137" s="589">
        <f>K1137+L1137</f>
        <v>3356</v>
      </c>
      <c r="N1137" s="585">
        <f>M1137*$N$7</f>
        <v>824.23360000000002</v>
      </c>
      <c r="O1137" s="585">
        <f>ROUND(M1137+N1137,2)</f>
        <v>4180.2299999999996</v>
      </c>
    </row>
    <row r="1138" spans="1:15" s="25" customFormat="1" ht="14.25" x14ac:dyDescent="0.2">
      <c r="A1138" s="168"/>
      <c r="B1138" s="159"/>
      <c r="C1138" s="34"/>
      <c r="D1138" s="153" t="s">
        <v>228</v>
      </c>
      <c r="E1138" s="34" t="s">
        <v>229</v>
      </c>
      <c r="F1138" s="148">
        <v>3</v>
      </c>
      <c r="G1138" s="35">
        <v>8.92</v>
      </c>
      <c r="H1138" s="131"/>
      <c r="I1138" s="30">
        <f>F1138*G1138</f>
        <v>26.759999999999998</v>
      </c>
      <c r="J1138" s="132"/>
      <c r="K1138" s="35"/>
      <c r="L1138" s="35"/>
      <c r="M1138" s="134"/>
      <c r="N1138" s="114"/>
      <c r="O1138" s="114"/>
    </row>
    <row r="1139" spans="1:15" s="25" customFormat="1" ht="14.25" x14ac:dyDescent="0.2">
      <c r="A1139" s="168"/>
      <c r="B1139" s="159"/>
      <c r="C1139" s="34"/>
      <c r="D1139" s="153" t="s">
        <v>230</v>
      </c>
      <c r="E1139" s="34" t="s">
        <v>229</v>
      </c>
      <c r="F1139" s="148">
        <v>3</v>
      </c>
      <c r="G1139" s="35">
        <v>12.57</v>
      </c>
      <c r="H1139" s="131"/>
      <c r="I1139" s="30">
        <f>F1139*G1139</f>
        <v>37.71</v>
      </c>
      <c r="J1139" s="132"/>
      <c r="K1139" s="35"/>
      <c r="L1139" s="35"/>
      <c r="M1139" s="134"/>
      <c r="N1139" s="114"/>
      <c r="O1139" s="114"/>
    </row>
    <row r="1140" spans="1:15" s="25" customFormat="1" ht="14.25" x14ac:dyDescent="0.2">
      <c r="A1140" s="168"/>
      <c r="B1140" s="159"/>
      <c r="C1140" s="85" t="s">
        <v>203</v>
      </c>
      <c r="D1140" s="153" t="s">
        <v>148</v>
      </c>
      <c r="E1140" s="34" t="s">
        <v>227</v>
      </c>
      <c r="F1140" s="148">
        <v>1</v>
      </c>
      <c r="G1140" s="35">
        <v>149.9</v>
      </c>
      <c r="H1140" s="131">
        <f>F1140*G1140</f>
        <v>149.9</v>
      </c>
      <c r="I1140" s="30"/>
      <c r="J1140" s="132"/>
      <c r="K1140" s="35"/>
      <c r="L1140" s="35"/>
      <c r="M1140" s="134"/>
      <c r="N1140" s="114"/>
      <c r="O1140" s="114"/>
    </row>
    <row r="1141" spans="1:15" s="25" customFormat="1" ht="22.5" x14ac:dyDescent="0.2">
      <c r="A1141" s="168"/>
      <c r="B1141" s="159"/>
      <c r="C1141" s="34"/>
      <c r="D1141" s="153" t="s">
        <v>231</v>
      </c>
      <c r="E1141" s="34" t="s">
        <v>227</v>
      </c>
      <c r="F1141" s="148">
        <v>1</v>
      </c>
      <c r="G1141" s="35">
        <v>4.32</v>
      </c>
      <c r="H1141" s="131">
        <f t="shared" ref="H1141:H1148" si="14">F1141*G1141</f>
        <v>4.32</v>
      </c>
      <c r="I1141" s="30"/>
      <c r="J1141" s="132"/>
      <c r="K1141" s="35"/>
      <c r="L1141" s="35"/>
      <c r="M1141" s="134"/>
      <c r="N1141" s="114"/>
      <c r="O1141" s="114"/>
    </row>
    <row r="1142" spans="1:15" s="25" customFormat="1" ht="14.25" x14ac:dyDescent="0.2">
      <c r="A1142" s="168"/>
      <c r="B1142" s="159"/>
      <c r="C1142" s="34"/>
      <c r="D1142" s="153" t="s">
        <v>232</v>
      </c>
      <c r="E1142" s="34" t="s">
        <v>227</v>
      </c>
      <c r="F1142" s="148">
        <v>2</v>
      </c>
      <c r="G1142" s="35">
        <v>2.2000000000000002</v>
      </c>
      <c r="H1142" s="131">
        <f t="shared" si="14"/>
        <v>4.4000000000000004</v>
      </c>
      <c r="I1142" s="30"/>
      <c r="J1142" s="132"/>
      <c r="K1142" s="35"/>
      <c r="L1142" s="35"/>
      <c r="M1142" s="134"/>
      <c r="N1142" s="114"/>
      <c r="O1142" s="114"/>
    </row>
    <row r="1143" spans="1:15" s="25" customFormat="1" ht="14.25" x14ac:dyDescent="0.2">
      <c r="A1143" s="168"/>
      <c r="B1143" s="159"/>
      <c r="C1143" s="85" t="s">
        <v>203</v>
      </c>
      <c r="D1143" s="153" t="s">
        <v>233</v>
      </c>
      <c r="E1143" s="34" t="s">
        <v>227</v>
      </c>
      <c r="F1143" s="148">
        <v>1</v>
      </c>
      <c r="G1143" s="35">
        <v>73.400000000000006</v>
      </c>
      <c r="H1143" s="131">
        <f t="shared" si="14"/>
        <v>73.400000000000006</v>
      </c>
      <c r="I1143" s="30"/>
      <c r="J1143" s="132"/>
      <c r="K1143" s="35"/>
      <c r="L1143" s="35"/>
      <c r="M1143" s="134"/>
      <c r="N1143" s="114"/>
      <c r="O1143" s="114"/>
    </row>
    <row r="1144" spans="1:15" s="25" customFormat="1" ht="22.5" x14ac:dyDescent="0.2">
      <c r="A1144" s="168"/>
      <c r="B1144" s="159"/>
      <c r="C1144" s="34"/>
      <c r="D1144" s="153" t="s">
        <v>234</v>
      </c>
      <c r="E1144" s="34" t="s">
        <v>227</v>
      </c>
      <c r="F1144" s="148">
        <v>1</v>
      </c>
      <c r="G1144" s="35">
        <v>2.4</v>
      </c>
      <c r="H1144" s="131">
        <f t="shared" si="14"/>
        <v>2.4</v>
      </c>
      <c r="I1144" s="30"/>
      <c r="J1144" s="132"/>
      <c r="K1144" s="35"/>
      <c r="L1144" s="35"/>
      <c r="M1144" s="134"/>
      <c r="N1144" s="114"/>
      <c r="O1144" s="114"/>
    </row>
    <row r="1145" spans="1:15" s="25" customFormat="1" ht="33.75" x14ac:dyDescent="0.2">
      <c r="A1145" s="168"/>
      <c r="B1145" s="159"/>
      <c r="C1145" s="34"/>
      <c r="D1145" s="153" t="s">
        <v>235</v>
      </c>
      <c r="E1145" s="34" t="s">
        <v>227</v>
      </c>
      <c r="F1145" s="148">
        <v>2</v>
      </c>
      <c r="G1145" s="35">
        <v>0.17</v>
      </c>
      <c r="H1145" s="131">
        <f t="shared" si="14"/>
        <v>0.34</v>
      </c>
      <c r="I1145" s="30"/>
      <c r="J1145" s="132"/>
      <c r="K1145" s="35"/>
      <c r="L1145" s="35"/>
      <c r="M1145" s="134"/>
      <c r="N1145" s="114"/>
      <c r="O1145" s="114"/>
    </row>
    <row r="1146" spans="1:15" s="25" customFormat="1" ht="14.25" x14ac:dyDescent="0.2">
      <c r="A1146" s="168"/>
      <c r="B1146" s="159"/>
      <c r="C1146" s="85" t="s">
        <v>203</v>
      </c>
      <c r="D1146" s="153" t="s">
        <v>236</v>
      </c>
      <c r="E1146" s="34" t="s">
        <v>227</v>
      </c>
      <c r="F1146" s="148">
        <v>1</v>
      </c>
      <c r="G1146" s="35">
        <v>120</v>
      </c>
      <c r="H1146" s="131">
        <f t="shared" si="14"/>
        <v>120</v>
      </c>
      <c r="I1146" s="30"/>
      <c r="J1146" s="132"/>
      <c r="K1146" s="35"/>
      <c r="L1146" s="35"/>
      <c r="M1146" s="134"/>
      <c r="N1146" s="114"/>
      <c r="O1146" s="114"/>
    </row>
    <row r="1147" spans="1:15" s="25" customFormat="1" ht="14.25" x14ac:dyDescent="0.2">
      <c r="A1147" s="168"/>
      <c r="B1147" s="159"/>
      <c r="C1147" s="34"/>
      <c r="D1147" s="153" t="s">
        <v>218</v>
      </c>
      <c r="E1147" s="34" t="s">
        <v>237</v>
      </c>
      <c r="F1147" s="148">
        <v>0.1</v>
      </c>
      <c r="G1147" s="35">
        <v>2</v>
      </c>
      <c r="H1147" s="131">
        <f t="shared" si="14"/>
        <v>0.2</v>
      </c>
      <c r="I1147" s="30"/>
      <c r="J1147" s="132"/>
      <c r="K1147" s="35"/>
      <c r="L1147" s="35"/>
      <c r="M1147" s="134"/>
      <c r="N1147" s="114"/>
      <c r="O1147" s="114"/>
    </row>
    <row r="1148" spans="1:15" s="25" customFormat="1" ht="22.5" x14ac:dyDescent="0.2">
      <c r="A1148" s="168"/>
      <c r="B1148" s="159"/>
      <c r="C1148" s="34"/>
      <c r="D1148" s="153" t="s">
        <v>217</v>
      </c>
      <c r="E1148" s="34" t="s">
        <v>227</v>
      </c>
      <c r="F1148" s="148">
        <v>0.56000000000000005</v>
      </c>
      <c r="G1148" s="35">
        <v>0.13</v>
      </c>
      <c r="H1148" s="131">
        <f t="shared" si="14"/>
        <v>7.2800000000000004E-2</v>
      </c>
      <c r="I1148" s="30"/>
      <c r="J1148" s="132"/>
      <c r="K1148" s="35"/>
      <c r="L1148" s="35"/>
      <c r="M1148" s="134"/>
      <c r="N1148" s="114"/>
      <c r="O1148" s="114"/>
    </row>
    <row r="1149" spans="1:15" s="25" customFormat="1" ht="14.25" x14ac:dyDescent="0.2">
      <c r="A1149" s="168"/>
      <c r="B1149" s="159"/>
      <c r="C1149" s="34"/>
      <c r="D1149" s="153"/>
      <c r="E1149" s="34"/>
      <c r="F1149" s="148"/>
      <c r="G1149" s="35"/>
      <c r="H1149" s="131"/>
      <c r="I1149" s="30"/>
      <c r="J1149" s="132"/>
      <c r="K1149" s="35"/>
      <c r="L1149" s="35"/>
      <c r="M1149" s="134"/>
      <c r="N1149" s="114"/>
      <c r="O1149" s="114"/>
    </row>
    <row r="1150" spans="1:15" s="25" customFormat="1" ht="33.75" x14ac:dyDescent="0.2">
      <c r="A1150" s="581" t="s">
        <v>225</v>
      </c>
      <c r="B1150" s="582" t="s">
        <v>238</v>
      </c>
      <c r="C1150" s="583" t="s">
        <v>840</v>
      </c>
      <c r="D1150" s="584" t="s">
        <v>721</v>
      </c>
      <c r="E1150" s="583" t="s">
        <v>227</v>
      </c>
      <c r="F1150" s="585">
        <f>'MEMÓRIA DE CÁLCULO'!T104</f>
        <v>8</v>
      </c>
      <c r="G1150" s="586"/>
      <c r="H1150" s="588">
        <f>ROUND(SUM(H1151:H1161),2)</f>
        <v>263.60000000000002</v>
      </c>
      <c r="I1150" s="588">
        <f>ROUND(SUM(I1151:I1161),2)</f>
        <v>70.92</v>
      </c>
      <c r="J1150" s="589">
        <f>H1150+I1150</f>
        <v>334.52000000000004</v>
      </c>
      <c r="K1150" s="587">
        <f>H1150*F1150</f>
        <v>2108.8000000000002</v>
      </c>
      <c r="L1150" s="588">
        <f>I1150*F1150</f>
        <v>567.36</v>
      </c>
      <c r="M1150" s="589">
        <f>K1150+L1150</f>
        <v>2676.1600000000003</v>
      </c>
      <c r="N1150" s="585">
        <f>M1150*$N$7</f>
        <v>657.26489600000014</v>
      </c>
      <c r="O1150" s="585">
        <f>ROUND(M1150+N1150,2)</f>
        <v>3333.42</v>
      </c>
    </row>
    <row r="1151" spans="1:15" s="25" customFormat="1" ht="14.25" x14ac:dyDescent="0.2">
      <c r="A1151" s="168"/>
      <c r="B1151" s="159"/>
      <c r="C1151" s="34"/>
      <c r="D1151" s="153" t="s">
        <v>228</v>
      </c>
      <c r="E1151" s="34" t="s">
        <v>229</v>
      </c>
      <c r="F1151" s="148">
        <v>3.3</v>
      </c>
      <c r="G1151" s="35">
        <v>8.92</v>
      </c>
      <c r="H1151" s="131"/>
      <c r="I1151" s="30">
        <f>F1151*G1151</f>
        <v>29.436</v>
      </c>
      <c r="J1151" s="132"/>
      <c r="K1151" s="35"/>
      <c r="L1151" s="35"/>
      <c r="M1151" s="134"/>
      <c r="N1151" s="114"/>
      <c r="O1151" s="114"/>
    </row>
    <row r="1152" spans="1:15" s="25" customFormat="1" ht="14.25" x14ac:dyDescent="0.2">
      <c r="A1152" s="168"/>
      <c r="B1152" s="159"/>
      <c r="C1152" s="34"/>
      <c r="D1152" s="153" t="s">
        <v>230</v>
      </c>
      <c r="E1152" s="34" t="s">
        <v>229</v>
      </c>
      <c r="F1152" s="148">
        <v>3.3</v>
      </c>
      <c r="G1152" s="35">
        <v>12.57</v>
      </c>
      <c r="H1152" s="131"/>
      <c r="I1152" s="30">
        <f>F1152*G1152</f>
        <v>41.481000000000002</v>
      </c>
      <c r="J1152" s="132"/>
      <c r="K1152" s="35"/>
      <c r="L1152" s="35"/>
      <c r="M1152" s="134"/>
      <c r="N1152" s="114"/>
      <c r="O1152" s="114"/>
    </row>
    <row r="1153" spans="1:15" s="25" customFormat="1" ht="22.5" x14ac:dyDescent="0.2">
      <c r="A1153" s="168"/>
      <c r="B1153" s="159"/>
      <c r="C1153" s="34"/>
      <c r="D1153" s="153" t="s">
        <v>239</v>
      </c>
      <c r="E1153" s="34" t="s">
        <v>227</v>
      </c>
      <c r="F1153" s="148">
        <v>1</v>
      </c>
      <c r="G1153" s="35">
        <v>19.53</v>
      </c>
      <c r="H1153" s="131">
        <f>F1153*G1153</f>
        <v>19.53</v>
      </c>
      <c r="I1153" s="30"/>
      <c r="J1153" s="132"/>
      <c r="K1153" s="35"/>
      <c r="L1153" s="35"/>
      <c r="M1153" s="134"/>
      <c r="N1153" s="114"/>
      <c r="O1153" s="114"/>
    </row>
    <row r="1154" spans="1:15" s="25" customFormat="1" ht="14.25" x14ac:dyDescent="0.2">
      <c r="A1154" s="168"/>
      <c r="B1154" s="159"/>
      <c r="C1154" s="85" t="s">
        <v>203</v>
      </c>
      <c r="D1154" s="153" t="s">
        <v>149</v>
      </c>
      <c r="E1154" s="34" t="s">
        <v>227</v>
      </c>
      <c r="F1154" s="148">
        <v>1</v>
      </c>
      <c r="G1154" s="35">
        <v>65.900000000000006</v>
      </c>
      <c r="H1154" s="131">
        <f t="shared" ref="H1154:H1161" si="15">F1154*G1154</f>
        <v>65.900000000000006</v>
      </c>
      <c r="I1154" s="30"/>
      <c r="J1154" s="132"/>
      <c r="K1154" s="35"/>
      <c r="L1154" s="35"/>
      <c r="M1154" s="134"/>
      <c r="N1154" s="114"/>
      <c r="O1154" s="114"/>
    </row>
    <row r="1155" spans="1:15" s="25" customFormat="1" ht="22.5" x14ac:dyDescent="0.2">
      <c r="A1155" s="168"/>
      <c r="B1155" s="159"/>
      <c r="C1155" s="34"/>
      <c r="D1155" s="153" t="s">
        <v>240</v>
      </c>
      <c r="E1155" s="34" t="s">
        <v>227</v>
      </c>
      <c r="F1155" s="148">
        <v>1</v>
      </c>
      <c r="G1155" s="35">
        <v>67.290000000000006</v>
      </c>
      <c r="H1155" s="131">
        <f t="shared" si="15"/>
        <v>67.290000000000006</v>
      </c>
      <c r="I1155" s="30"/>
      <c r="J1155" s="132"/>
      <c r="K1155" s="35"/>
      <c r="L1155" s="35"/>
      <c r="M1155" s="134"/>
      <c r="N1155" s="114"/>
      <c r="O1155" s="114"/>
    </row>
    <row r="1156" spans="1:15" s="25" customFormat="1" ht="14.25" x14ac:dyDescent="0.2">
      <c r="A1156" s="168"/>
      <c r="B1156" s="159"/>
      <c r="C1156" s="85" t="s">
        <v>203</v>
      </c>
      <c r="D1156" s="153" t="s">
        <v>241</v>
      </c>
      <c r="E1156" s="34" t="s">
        <v>227</v>
      </c>
      <c r="F1156" s="148">
        <v>1</v>
      </c>
      <c r="G1156" s="35">
        <v>87.9</v>
      </c>
      <c r="H1156" s="131">
        <f t="shared" si="15"/>
        <v>87.9</v>
      </c>
      <c r="I1156" s="30"/>
      <c r="J1156" s="132"/>
      <c r="K1156" s="35"/>
      <c r="L1156" s="35"/>
      <c r="M1156" s="134"/>
      <c r="N1156" s="114"/>
      <c r="O1156" s="114"/>
    </row>
    <row r="1157" spans="1:15" s="25" customFormat="1" ht="22.5" x14ac:dyDescent="0.2">
      <c r="A1157" s="168"/>
      <c r="B1157" s="159"/>
      <c r="C1157" s="34"/>
      <c r="D1157" s="153" t="s">
        <v>242</v>
      </c>
      <c r="E1157" s="34" t="s">
        <v>227</v>
      </c>
      <c r="F1157" s="148">
        <v>1</v>
      </c>
      <c r="G1157" s="35">
        <v>15.69</v>
      </c>
      <c r="H1157" s="131">
        <f t="shared" si="15"/>
        <v>15.69</v>
      </c>
      <c r="I1157" s="30"/>
      <c r="J1157" s="132"/>
      <c r="K1157" s="35"/>
      <c r="L1157" s="35"/>
      <c r="M1157" s="134"/>
      <c r="N1157" s="114"/>
      <c r="O1157" s="114"/>
    </row>
    <row r="1158" spans="1:15" s="25" customFormat="1" ht="14.25" x14ac:dyDescent="0.2">
      <c r="A1158" s="168"/>
      <c r="B1158" s="159"/>
      <c r="C1158" s="34"/>
      <c r="D1158" s="153" t="s">
        <v>232</v>
      </c>
      <c r="E1158" s="34" t="s">
        <v>227</v>
      </c>
      <c r="F1158" s="148">
        <v>2</v>
      </c>
      <c r="G1158" s="35">
        <v>2.2000000000000002</v>
      </c>
      <c r="H1158" s="131">
        <f t="shared" si="15"/>
        <v>4.4000000000000004</v>
      </c>
      <c r="I1158" s="30"/>
      <c r="J1158" s="132"/>
      <c r="K1158" s="35"/>
      <c r="L1158" s="35"/>
      <c r="M1158" s="134"/>
      <c r="N1158" s="114"/>
      <c r="O1158" s="114"/>
    </row>
    <row r="1159" spans="1:15" s="25" customFormat="1" ht="22.5" x14ac:dyDescent="0.2">
      <c r="A1159" s="168"/>
      <c r="B1159" s="159"/>
      <c r="C1159" s="34"/>
      <c r="D1159" s="153" t="s">
        <v>234</v>
      </c>
      <c r="E1159" s="34" t="s">
        <v>227</v>
      </c>
      <c r="F1159" s="148">
        <v>1</v>
      </c>
      <c r="G1159" s="35">
        <v>2.4</v>
      </c>
      <c r="H1159" s="131">
        <f t="shared" si="15"/>
        <v>2.4</v>
      </c>
      <c r="I1159" s="30"/>
      <c r="J1159" s="132"/>
      <c r="K1159" s="35"/>
      <c r="L1159" s="35"/>
      <c r="M1159" s="134"/>
      <c r="N1159" s="114"/>
      <c r="O1159" s="114"/>
    </row>
    <row r="1160" spans="1:15" s="25" customFormat="1" ht="33.75" x14ac:dyDescent="0.2">
      <c r="A1160" s="168"/>
      <c r="B1160" s="159"/>
      <c r="C1160" s="34"/>
      <c r="D1160" s="153" t="s">
        <v>235</v>
      </c>
      <c r="E1160" s="34" t="s">
        <v>227</v>
      </c>
      <c r="F1160" s="148">
        <v>2</v>
      </c>
      <c r="G1160" s="35">
        <v>0.17</v>
      </c>
      <c r="H1160" s="131">
        <f t="shared" si="15"/>
        <v>0.34</v>
      </c>
      <c r="I1160" s="30"/>
      <c r="J1160" s="132"/>
      <c r="K1160" s="35"/>
      <c r="L1160" s="35"/>
      <c r="M1160" s="134"/>
      <c r="N1160" s="114"/>
      <c r="O1160" s="114"/>
    </row>
    <row r="1161" spans="1:15" s="25" customFormat="1" ht="22.5" x14ac:dyDescent="0.2">
      <c r="A1161" s="168"/>
      <c r="B1161" s="159"/>
      <c r="C1161" s="34"/>
      <c r="D1161" s="153" t="s">
        <v>217</v>
      </c>
      <c r="E1161" s="34" t="s">
        <v>227</v>
      </c>
      <c r="F1161" s="148">
        <v>1.1200000000000001</v>
      </c>
      <c r="G1161" s="35">
        <v>0.13</v>
      </c>
      <c r="H1161" s="131">
        <f t="shared" si="15"/>
        <v>0.14560000000000001</v>
      </c>
      <c r="I1161" s="30"/>
      <c r="J1161" s="132"/>
      <c r="K1161" s="35"/>
      <c r="L1161" s="35"/>
      <c r="M1161" s="134"/>
      <c r="N1161" s="114"/>
      <c r="O1161" s="114"/>
    </row>
    <row r="1162" spans="1:15" s="25" customFormat="1" ht="14.25" x14ac:dyDescent="0.2">
      <c r="A1162" s="168"/>
      <c r="B1162" s="159"/>
      <c r="C1162" s="34"/>
      <c r="D1162" s="153"/>
      <c r="E1162" s="34"/>
      <c r="F1162" s="148"/>
      <c r="G1162" s="35"/>
      <c r="H1162" s="131"/>
      <c r="I1162" s="30"/>
      <c r="J1162" s="132"/>
      <c r="K1162" s="35"/>
      <c r="L1162" s="35"/>
      <c r="M1162" s="134"/>
      <c r="N1162" s="114"/>
      <c r="O1162" s="114"/>
    </row>
    <row r="1163" spans="1:15" s="25" customFormat="1" ht="33.75" x14ac:dyDescent="0.2">
      <c r="A1163" s="581" t="s">
        <v>225</v>
      </c>
      <c r="B1163" s="582" t="s">
        <v>244</v>
      </c>
      <c r="C1163" s="583" t="s">
        <v>842</v>
      </c>
      <c r="D1163" s="584" t="s">
        <v>722</v>
      </c>
      <c r="E1163" s="583" t="s">
        <v>227</v>
      </c>
      <c r="F1163" s="585">
        <f>'MEMÓRIA DE CÁLCULO'!V104</f>
        <v>1</v>
      </c>
      <c r="G1163" s="586"/>
      <c r="H1163" s="588">
        <f>ROUND(SUM(H1164:H1172),2)</f>
        <v>312.02999999999997</v>
      </c>
      <c r="I1163" s="588">
        <f>ROUND(SUM(I1164:I1172),2)</f>
        <v>59.1</v>
      </c>
      <c r="J1163" s="589">
        <f>H1163+I1163</f>
        <v>371.13</v>
      </c>
      <c r="K1163" s="587">
        <f>H1163*F1163</f>
        <v>312.02999999999997</v>
      </c>
      <c r="L1163" s="588">
        <f>I1163*F1163</f>
        <v>59.1</v>
      </c>
      <c r="M1163" s="589">
        <f>K1163+L1163</f>
        <v>371.13</v>
      </c>
      <c r="N1163" s="585">
        <f>M1163*$N$7</f>
        <v>91.149528000000004</v>
      </c>
      <c r="O1163" s="585">
        <f>ROUND(M1163+N1163,2)</f>
        <v>462.28</v>
      </c>
    </row>
    <row r="1164" spans="1:15" s="25" customFormat="1" ht="14.25" x14ac:dyDescent="0.2">
      <c r="A1164" s="168"/>
      <c r="B1164" s="159"/>
      <c r="C1164" s="34"/>
      <c r="D1164" s="153" t="s">
        <v>228</v>
      </c>
      <c r="E1164" s="34" t="s">
        <v>229</v>
      </c>
      <c r="F1164" s="148">
        <v>2.75</v>
      </c>
      <c r="G1164" s="35">
        <v>8.92</v>
      </c>
      <c r="H1164" s="131"/>
      <c r="I1164" s="30">
        <f>F1164*G1164</f>
        <v>24.53</v>
      </c>
      <c r="J1164" s="132"/>
      <c r="K1164" s="35"/>
      <c r="L1164" s="35"/>
      <c r="M1164" s="134"/>
      <c r="N1164" s="114"/>
      <c r="O1164" s="114"/>
    </row>
    <row r="1165" spans="1:15" s="25" customFormat="1" ht="14.25" x14ac:dyDescent="0.2">
      <c r="A1165" s="168"/>
      <c r="B1165" s="159"/>
      <c r="C1165" s="34"/>
      <c r="D1165" s="153" t="s">
        <v>230</v>
      </c>
      <c r="E1165" s="34" t="s">
        <v>229</v>
      </c>
      <c r="F1165" s="148">
        <v>2.75</v>
      </c>
      <c r="G1165" s="35">
        <v>12.57</v>
      </c>
      <c r="H1165" s="131"/>
      <c r="I1165" s="30">
        <f>F1165*G1165</f>
        <v>34.567500000000003</v>
      </c>
      <c r="J1165" s="132"/>
      <c r="K1165" s="35"/>
      <c r="L1165" s="35"/>
      <c r="M1165" s="134"/>
      <c r="N1165" s="114"/>
      <c r="O1165" s="114"/>
    </row>
    <row r="1166" spans="1:15" s="25" customFormat="1" ht="14.25" x14ac:dyDescent="0.2">
      <c r="A1166" s="168"/>
      <c r="B1166" s="159"/>
      <c r="C1166" s="85" t="s">
        <v>203</v>
      </c>
      <c r="D1166" s="153" t="s">
        <v>245</v>
      </c>
      <c r="E1166" s="34" t="s">
        <v>227</v>
      </c>
      <c r="F1166" s="148">
        <v>1</v>
      </c>
      <c r="G1166" s="35">
        <v>221.8</v>
      </c>
      <c r="H1166" s="131">
        <f>F1166*G1166</f>
        <v>221.8</v>
      </c>
      <c r="I1166" s="30"/>
      <c r="J1166" s="132"/>
      <c r="K1166" s="35"/>
      <c r="L1166" s="35"/>
      <c r="M1166" s="134"/>
      <c r="N1166" s="114"/>
      <c r="O1166" s="114"/>
    </row>
    <row r="1167" spans="1:15" s="25" customFormat="1" ht="22.5" x14ac:dyDescent="0.2">
      <c r="A1167" s="168"/>
      <c r="B1167" s="159"/>
      <c r="C1167" s="34"/>
      <c r="D1167" s="153" t="s">
        <v>240</v>
      </c>
      <c r="E1167" s="34" t="s">
        <v>227</v>
      </c>
      <c r="F1167" s="148">
        <v>1</v>
      </c>
      <c r="G1167" s="35">
        <v>67.290000000000006</v>
      </c>
      <c r="H1167" s="131">
        <f t="shared" ref="H1167:H1172" si="16">F1167*G1167</f>
        <v>67.290000000000006</v>
      </c>
      <c r="I1167" s="30"/>
      <c r="J1167" s="132"/>
      <c r="K1167" s="35"/>
      <c r="L1167" s="35"/>
      <c r="M1167" s="134"/>
      <c r="N1167" s="114"/>
      <c r="O1167" s="114"/>
    </row>
    <row r="1168" spans="1:15" s="25" customFormat="1" ht="22.5" x14ac:dyDescent="0.2">
      <c r="A1168" s="168"/>
      <c r="B1168" s="159"/>
      <c r="C1168" s="34"/>
      <c r="D1168" s="153" t="s">
        <v>242</v>
      </c>
      <c r="E1168" s="34" t="s">
        <v>227</v>
      </c>
      <c r="F1168" s="148">
        <v>1</v>
      </c>
      <c r="G1168" s="35">
        <v>15.69</v>
      </c>
      <c r="H1168" s="131">
        <f t="shared" si="16"/>
        <v>15.69</v>
      </c>
      <c r="I1168" s="30"/>
      <c r="J1168" s="132"/>
      <c r="K1168" s="35"/>
      <c r="L1168" s="35"/>
      <c r="M1168" s="134"/>
      <c r="N1168" s="114"/>
      <c r="O1168" s="114"/>
    </row>
    <row r="1169" spans="1:15" s="25" customFormat="1" ht="14.25" x14ac:dyDescent="0.2">
      <c r="A1169" s="168"/>
      <c r="B1169" s="159"/>
      <c r="C1169" s="34"/>
      <c r="D1169" s="153" t="s">
        <v>232</v>
      </c>
      <c r="E1169" s="34" t="s">
        <v>227</v>
      </c>
      <c r="F1169" s="148">
        <v>2</v>
      </c>
      <c r="G1169" s="35">
        <v>2.2000000000000002</v>
      </c>
      <c r="H1169" s="131">
        <f t="shared" si="16"/>
        <v>4.4000000000000004</v>
      </c>
      <c r="I1169" s="30"/>
      <c r="J1169" s="132"/>
      <c r="K1169" s="35"/>
      <c r="L1169" s="35"/>
      <c r="M1169" s="134"/>
      <c r="N1169" s="114"/>
      <c r="O1169" s="114"/>
    </row>
    <row r="1170" spans="1:15" s="25" customFormat="1" ht="22.5" x14ac:dyDescent="0.2">
      <c r="A1170" s="168"/>
      <c r="B1170" s="159"/>
      <c r="C1170" s="34"/>
      <c r="D1170" s="153" t="s">
        <v>234</v>
      </c>
      <c r="E1170" s="34" t="s">
        <v>227</v>
      </c>
      <c r="F1170" s="148">
        <v>1</v>
      </c>
      <c r="G1170" s="35">
        <v>2.4</v>
      </c>
      <c r="H1170" s="131">
        <f t="shared" si="16"/>
        <v>2.4</v>
      </c>
      <c r="I1170" s="30"/>
      <c r="J1170" s="132"/>
      <c r="K1170" s="35"/>
      <c r="L1170" s="35"/>
      <c r="M1170" s="134"/>
      <c r="N1170" s="114"/>
      <c r="O1170" s="114"/>
    </row>
    <row r="1171" spans="1:15" s="25" customFormat="1" ht="33.75" x14ac:dyDescent="0.2">
      <c r="A1171" s="168"/>
      <c r="B1171" s="159"/>
      <c r="C1171" s="34"/>
      <c r="D1171" s="153" t="s">
        <v>235</v>
      </c>
      <c r="E1171" s="34" t="s">
        <v>227</v>
      </c>
      <c r="F1171" s="148">
        <v>2</v>
      </c>
      <c r="G1171" s="35">
        <v>0.17</v>
      </c>
      <c r="H1171" s="131">
        <f t="shared" si="16"/>
        <v>0.34</v>
      </c>
      <c r="I1171" s="30"/>
      <c r="J1171" s="132"/>
      <c r="K1171" s="35"/>
      <c r="L1171" s="35"/>
      <c r="M1171" s="134"/>
      <c r="N1171" s="114"/>
      <c r="O1171" s="114"/>
    </row>
    <row r="1172" spans="1:15" s="25" customFormat="1" ht="22.5" x14ac:dyDescent="0.2">
      <c r="A1172" s="168"/>
      <c r="B1172" s="159"/>
      <c r="C1172" s="34"/>
      <c r="D1172" s="153" t="s">
        <v>217</v>
      </c>
      <c r="E1172" s="34" t="s">
        <v>227</v>
      </c>
      <c r="F1172" s="148">
        <v>0.84</v>
      </c>
      <c r="G1172" s="35">
        <v>0.13</v>
      </c>
      <c r="H1172" s="131">
        <f t="shared" si="16"/>
        <v>0.10920000000000001</v>
      </c>
      <c r="I1172" s="30"/>
      <c r="J1172" s="132"/>
      <c r="K1172" s="35"/>
      <c r="L1172" s="35"/>
      <c r="M1172" s="134"/>
      <c r="N1172" s="114"/>
      <c r="O1172" s="114"/>
    </row>
    <row r="1173" spans="1:15" s="25" customFormat="1" ht="14.25" x14ac:dyDescent="0.2">
      <c r="A1173" s="168"/>
      <c r="B1173" s="159"/>
      <c r="C1173" s="34"/>
      <c r="D1173" s="153"/>
      <c r="E1173" s="34"/>
      <c r="F1173" s="148"/>
      <c r="G1173" s="35"/>
      <c r="H1173" s="131"/>
      <c r="I1173" s="30"/>
      <c r="J1173" s="132"/>
      <c r="K1173" s="35"/>
      <c r="L1173" s="35"/>
      <c r="M1173" s="134"/>
      <c r="N1173" s="114"/>
      <c r="O1173" s="114"/>
    </row>
    <row r="1174" spans="1:15" s="25" customFormat="1" ht="45" x14ac:dyDescent="0.2">
      <c r="A1174" s="581" t="s">
        <v>225</v>
      </c>
      <c r="B1174" s="582" t="s">
        <v>896</v>
      </c>
      <c r="C1174" s="583" t="s">
        <v>843</v>
      </c>
      <c r="D1174" s="584" t="s">
        <v>897</v>
      </c>
      <c r="E1174" s="583" t="s">
        <v>315</v>
      </c>
      <c r="F1174" s="585">
        <v>1</v>
      </c>
      <c r="G1174" s="586"/>
      <c r="H1174" s="588">
        <f>ROUND(SUM(H1175:H1176),2)</f>
        <v>0</v>
      </c>
      <c r="I1174" s="588">
        <f>ROUND(SUM(I1175:I1176),2)</f>
        <v>64.47</v>
      </c>
      <c r="J1174" s="589">
        <f>H1174+I1174</f>
        <v>64.47</v>
      </c>
      <c r="K1174" s="587">
        <f>H1174*F1174</f>
        <v>0</v>
      </c>
      <c r="L1174" s="588">
        <f>I1174*F1174</f>
        <v>64.47</v>
      </c>
      <c r="M1174" s="589">
        <f>K1174+L1174</f>
        <v>64.47</v>
      </c>
      <c r="N1174" s="585">
        <f>M1174*$N$7</f>
        <v>15.833832000000001</v>
      </c>
      <c r="O1174" s="585">
        <f>ROUND(M1174+N1174,2)</f>
        <v>80.3</v>
      </c>
    </row>
    <row r="1175" spans="1:15" s="25" customFormat="1" ht="14.25" x14ac:dyDescent="0.2">
      <c r="A1175" s="168"/>
      <c r="B1175" s="159"/>
      <c r="C1175" s="34"/>
      <c r="D1175" s="153" t="s">
        <v>300</v>
      </c>
      <c r="E1175" s="34" t="s">
        <v>307</v>
      </c>
      <c r="F1175" s="148">
        <v>3</v>
      </c>
      <c r="G1175" s="35">
        <v>8.92</v>
      </c>
      <c r="H1175" s="131"/>
      <c r="I1175" s="30">
        <f>F1175*G1175</f>
        <v>26.759999999999998</v>
      </c>
      <c r="J1175" s="132"/>
      <c r="K1175" s="35"/>
      <c r="L1175" s="35"/>
      <c r="M1175" s="134"/>
      <c r="N1175" s="114"/>
      <c r="O1175" s="114"/>
    </row>
    <row r="1176" spans="1:15" s="25" customFormat="1" ht="14.25" x14ac:dyDescent="0.2">
      <c r="A1176" s="168"/>
      <c r="B1176" s="159"/>
      <c r="C1176" s="34"/>
      <c r="D1176" s="153" t="s">
        <v>299</v>
      </c>
      <c r="E1176" s="34" t="s">
        <v>307</v>
      </c>
      <c r="F1176" s="148">
        <v>3</v>
      </c>
      <c r="G1176" s="35">
        <v>12.57</v>
      </c>
      <c r="H1176" s="131"/>
      <c r="I1176" s="30">
        <f>F1176*G1176</f>
        <v>37.71</v>
      </c>
      <c r="J1176" s="132"/>
      <c r="K1176" s="35"/>
      <c r="L1176" s="35"/>
      <c r="M1176" s="134"/>
      <c r="N1176" s="114"/>
      <c r="O1176" s="114"/>
    </row>
    <row r="1177" spans="1:15" s="25" customFormat="1" ht="14.25" x14ac:dyDescent="0.2">
      <c r="A1177" s="14"/>
      <c r="B1177" s="15"/>
      <c r="C1177" s="16"/>
      <c r="D1177" s="17"/>
      <c r="E1177" s="23"/>
      <c r="F1177" s="19"/>
      <c r="G1177" s="23"/>
      <c r="H1177" s="24"/>
      <c r="I1177" s="181"/>
      <c r="J1177" s="137"/>
      <c r="K1177" s="23"/>
      <c r="L1177" s="24"/>
      <c r="M1177" s="137"/>
      <c r="N1177" s="22"/>
      <c r="O1177" s="22"/>
    </row>
    <row r="1178" spans="1:15" s="25" customFormat="1" ht="14.25" x14ac:dyDescent="0.2">
      <c r="A1178" s="167"/>
      <c r="B1178" s="149"/>
      <c r="C1178" s="152"/>
      <c r="D1178" s="154" t="s">
        <v>246</v>
      </c>
      <c r="E1178" s="152"/>
      <c r="F1178" s="113"/>
      <c r="G1178" s="145"/>
      <c r="H1178" s="127"/>
      <c r="I1178" s="37"/>
      <c r="J1178" s="128"/>
      <c r="K1178" s="179"/>
      <c r="L1178" s="37"/>
      <c r="M1178" s="128"/>
      <c r="N1178" s="113"/>
      <c r="O1178" s="113"/>
    </row>
    <row r="1179" spans="1:15" s="25" customFormat="1" ht="14.25" x14ac:dyDescent="0.2">
      <c r="A1179" s="14"/>
      <c r="B1179" s="15"/>
      <c r="C1179" s="16"/>
      <c r="D1179" s="17"/>
      <c r="E1179" s="23"/>
      <c r="F1179" s="19"/>
      <c r="G1179" s="23"/>
      <c r="H1179" s="24"/>
      <c r="I1179" s="181"/>
      <c r="J1179" s="137"/>
      <c r="K1179" s="23"/>
      <c r="L1179" s="24"/>
      <c r="M1179" s="137"/>
      <c r="N1179" s="22"/>
      <c r="O1179" s="22"/>
    </row>
    <row r="1180" spans="1:15" s="25" customFormat="1" ht="33.75" x14ac:dyDescent="0.2">
      <c r="A1180" s="581"/>
      <c r="B1180" s="582" t="s">
        <v>247</v>
      </c>
      <c r="C1180" s="583" t="s">
        <v>844</v>
      </c>
      <c r="D1180" s="584" t="s">
        <v>724</v>
      </c>
      <c r="E1180" s="583" t="s">
        <v>227</v>
      </c>
      <c r="F1180" s="585">
        <f>'MEMÓRIA DE CÁLCULO'!AF104</f>
        <v>9</v>
      </c>
      <c r="G1180" s="586"/>
      <c r="H1180" s="588">
        <f>ROUND(SUM(H1181:H1182),2)</f>
        <v>89.9</v>
      </c>
      <c r="I1180" s="588">
        <f>ROUND(SUM(I1181:I1182),2)</f>
        <v>6.29</v>
      </c>
      <c r="J1180" s="589">
        <f>H1180+I1180</f>
        <v>96.190000000000012</v>
      </c>
      <c r="K1180" s="587">
        <f>H1180*F1180</f>
        <v>809.1</v>
      </c>
      <c r="L1180" s="588">
        <f>I1180*F1180</f>
        <v>56.61</v>
      </c>
      <c r="M1180" s="589">
        <f>K1180+L1180</f>
        <v>865.71</v>
      </c>
      <c r="N1180" s="585">
        <f>M1180*$N$7</f>
        <v>212.61837600000001</v>
      </c>
      <c r="O1180" s="585">
        <f>ROUND(M1180+N1180,2)</f>
        <v>1078.33</v>
      </c>
    </row>
    <row r="1181" spans="1:15" s="25" customFormat="1" ht="14.25" x14ac:dyDescent="0.2">
      <c r="A1181" s="168"/>
      <c r="B1181" s="159"/>
      <c r="C1181" s="34"/>
      <c r="D1181" s="153" t="s">
        <v>243</v>
      </c>
      <c r="E1181" s="34" t="s">
        <v>229</v>
      </c>
      <c r="F1181" s="148">
        <v>0.5</v>
      </c>
      <c r="G1181" s="35">
        <v>12.57</v>
      </c>
      <c r="H1181" s="131"/>
      <c r="I1181" s="30">
        <f>F1181*G1181</f>
        <v>6.2850000000000001</v>
      </c>
      <c r="J1181" s="132"/>
      <c r="K1181" s="35"/>
      <c r="L1181" s="35"/>
      <c r="M1181" s="134"/>
      <c r="N1181" s="114"/>
      <c r="O1181" s="114"/>
    </row>
    <row r="1182" spans="1:15" s="25" customFormat="1" ht="33.75" x14ac:dyDescent="0.2">
      <c r="A1182" s="168"/>
      <c r="B1182" s="159"/>
      <c r="C1182" s="85" t="s">
        <v>203</v>
      </c>
      <c r="D1182" s="153" t="str">
        <f>D1180</f>
        <v>Papeleira em metal cromado de parafusar - referência: linha Deca Flex 2020 ou similar, que apresente características visuais e materiais de fabricação idênticos - instalado junto a cada bacia sanitária nova</v>
      </c>
      <c r="E1182" s="34" t="s">
        <v>248</v>
      </c>
      <c r="F1182" s="148">
        <v>1</v>
      </c>
      <c r="G1182" s="35">
        <v>89.9</v>
      </c>
      <c r="H1182" s="131">
        <f>F1182*G1182</f>
        <v>89.9</v>
      </c>
      <c r="I1182" s="30"/>
      <c r="J1182" s="132"/>
      <c r="K1182" s="35"/>
      <c r="L1182" s="35"/>
      <c r="M1182" s="134"/>
      <c r="N1182" s="114"/>
      <c r="O1182" s="114"/>
    </row>
    <row r="1183" spans="1:15" s="25" customFormat="1" ht="14.25" x14ac:dyDescent="0.2">
      <c r="A1183" s="168"/>
      <c r="B1183" s="159"/>
      <c r="C1183" s="34"/>
      <c r="D1183" s="153"/>
      <c r="E1183" s="34"/>
      <c r="F1183" s="148"/>
      <c r="G1183" s="35"/>
      <c r="H1183" s="131"/>
      <c r="I1183" s="30"/>
      <c r="J1183" s="132"/>
      <c r="K1183" s="35"/>
      <c r="L1183" s="35"/>
      <c r="M1183" s="134"/>
      <c r="N1183" s="114"/>
      <c r="O1183" s="114"/>
    </row>
    <row r="1184" spans="1:15" s="25" customFormat="1" ht="22.5" x14ac:dyDescent="0.2">
      <c r="A1184" s="581"/>
      <c r="B1184" s="582" t="s">
        <v>247</v>
      </c>
      <c r="C1184" s="583" t="s">
        <v>845</v>
      </c>
      <c r="D1184" s="584" t="s">
        <v>725</v>
      </c>
      <c r="E1184" s="583" t="s">
        <v>227</v>
      </c>
      <c r="F1184" s="585">
        <f>'MEMÓRIA DE CÁLCULO'!AG104</f>
        <v>9</v>
      </c>
      <c r="G1184" s="586"/>
      <c r="H1184" s="588">
        <f>ROUND(SUM(H1185:H1186),2)</f>
        <v>23.4</v>
      </c>
      <c r="I1184" s="588">
        <f>ROUND(SUM(I1185:I1186),2)</f>
        <v>8.92</v>
      </c>
      <c r="J1184" s="589">
        <f>H1184+I1184</f>
        <v>32.32</v>
      </c>
      <c r="K1184" s="587">
        <f>H1184*F1184</f>
        <v>210.6</v>
      </c>
      <c r="L1184" s="588">
        <f>I1184*F1184</f>
        <v>80.28</v>
      </c>
      <c r="M1184" s="589">
        <f>K1184+L1184</f>
        <v>290.88</v>
      </c>
      <c r="N1184" s="585">
        <f>M1184*$N$7</f>
        <v>71.440128000000001</v>
      </c>
      <c r="O1184" s="585">
        <f>ROUND(M1184+N1184,2)</f>
        <v>362.32</v>
      </c>
    </row>
    <row r="1185" spans="1:15" s="25" customFormat="1" ht="14.25" x14ac:dyDescent="0.2">
      <c r="A1185" s="168"/>
      <c r="B1185" s="159"/>
      <c r="C1185" s="34"/>
      <c r="D1185" s="153" t="s">
        <v>249</v>
      </c>
      <c r="E1185" s="34" t="s">
        <v>229</v>
      </c>
      <c r="F1185" s="148">
        <v>1</v>
      </c>
      <c r="G1185" s="35">
        <v>8.92</v>
      </c>
      <c r="H1185" s="131"/>
      <c r="I1185" s="30">
        <f>F1185*G1185</f>
        <v>8.92</v>
      </c>
      <c r="J1185" s="132"/>
      <c r="K1185" s="35"/>
      <c r="L1185" s="35"/>
      <c r="M1185" s="134"/>
      <c r="N1185" s="114"/>
      <c r="O1185" s="114"/>
    </row>
    <row r="1186" spans="1:15" s="25" customFormat="1" ht="14.25" x14ac:dyDescent="0.2">
      <c r="A1186" s="168"/>
      <c r="B1186" s="159"/>
      <c r="C1186" s="34"/>
      <c r="D1186" s="153" t="str">
        <f>D1184</f>
        <v>Saboneteira de plástico para sabonete líquido - referência:  Columbus ou similar</v>
      </c>
      <c r="E1186" s="34" t="s">
        <v>229</v>
      </c>
      <c r="F1186" s="148">
        <v>1</v>
      </c>
      <c r="G1186" s="35">
        <v>23.4</v>
      </c>
      <c r="H1186" s="131">
        <f>F1186*G1186</f>
        <v>23.4</v>
      </c>
      <c r="I1186" s="30"/>
      <c r="J1186" s="132"/>
      <c r="K1186" s="35"/>
      <c r="L1186" s="35"/>
      <c r="M1186" s="134"/>
      <c r="N1186" s="114"/>
      <c r="O1186" s="114"/>
    </row>
    <row r="1187" spans="1:15" s="25" customFormat="1" ht="14.25" x14ac:dyDescent="0.2">
      <c r="A1187" s="168"/>
      <c r="B1187" s="159"/>
      <c r="C1187" s="34"/>
      <c r="D1187" s="153"/>
      <c r="E1187" s="34"/>
      <c r="F1187" s="148"/>
      <c r="G1187" s="35"/>
      <c r="H1187" s="131"/>
      <c r="I1187" s="30"/>
      <c r="J1187" s="132"/>
      <c r="K1187" s="35"/>
      <c r="L1187" s="35"/>
      <c r="M1187" s="134"/>
      <c r="N1187" s="114"/>
      <c r="O1187" s="114"/>
    </row>
    <row r="1188" spans="1:15" s="25" customFormat="1" ht="22.5" x14ac:dyDescent="0.2">
      <c r="A1188" s="581"/>
      <c r="B1188" s="582" t="s">
        <v>247</v>
      </c>
      <c r="C1188" s="583" t="s">
        <v>846</v>
      </c>
      <c r="D1188" s="584" t="s">
        <v>726</v>
      </c>
      <c r="E1188" s="583" t="s">
        <v>227</v>
      </c>
      <c r="F1188" s="585">
        <f>'MEMÓRIA DE CÁLCULO'!AH104</f>
        <v>8</v>
      </c>
      <c r="G1188" s="586"/>
      <c r="H1188" s="588">
        <f>ROUND(SUM(H1189:H1190),2)</f>
        <v>28.3</v>
      </c>
      <c r="I1188" s="588">
        <f>ROUND(SUM(I1189:I1190),2)</f>
        <v>8.92</v>
      </c>
      <c r="J1188" s="589">
        <f>H1188+I1188</f>
        <v>37.22</v>
      </c>
      <c r="K1188" s="587">
        <f>H1188*F1188</f>
        <v>226.4</v>
      </c>
      <c r="L1188" s="588">
        <f>I1188*F1188</f>
        <v>71.36</v>
      </c>
      <c r="M1188" s="589">
        <f>K1188+L1188</f>
        <v>297.76</v>
      </c>
      <c r="N1188" s="585">
        <f>M1188*$N$7</f>
        <v>73.129856000000004</v>
      </c>
      <c r="O1188" s="585">
        <f>ROUND(M1188+N1188,2)</f>
        <v>370.89</v>
      </c>
    </row>
    <row r="1189" spans="1:15" s="25" customFormat="1" ht="15" customHeight="1" x14ac:dyDescent="0.2">
      <c r="A1189" s="168"/>
      <c r="B1189" s="159"/>
      <c r="C1189" s="34"/>
      <c r="D1189" s="153" t="s">
        <v>249</v>
      </c>
      <c r="E1189" s="34" t="s">
        <v>229</v>
      </c>
      <c r="F1189" s="148">
        <v>1</v>
      </c>
      <c r="G1189" s="35">
        <v>8.92</v>
      </c>
      <c r="H1189" s="131"/>
      <c r="I1189" s="30">
        <f>F1189*G1189</f>
        <v>8.92</v>
      </c>
      <c r="J1189" s="132"/>
      <c r="K1189" s="35"/>
      <c r="L1189" s="35"/>
      <c r="M1189" s="134"/>
      <c r="N1189" s="114"/>
      <c r="O1189" s="114"/>
    </row>
    <row r="1190" spans="1:15" s="25" customFormat="1" ht="31.5" customHeight="1" x14ac:dyDescent="0.2">
      <c r="A1190" s="168"/>
      <c r="B1190" s="159"/>
      <c r="C1190" s="34"/>
      <c r="D1190" s="153" t="str">
        <f>D1188</f>
        <v>Dispenser para papel toalha, linha standard - Fornecimento e instalação  - Referência Técnica: Columbus ou similar</v>
      </c>
      <c r="E1190" s="34" t="s">
        <v>229</v>
      </c>
      <c r="F1190" s="148">
        <v>1</v>
      </c>
      <c r="G1190" s="35">
        <v>28.3</v>
      </c>
      <c r="H1190" s="131">
        <f>F1190*G1190</f>
        <v>28.3</v>
      </c>
      <c r="I1190" s="30"/>
      <c r="J1190" s="132"/>
      <c r="K1190" s="35"/>
      <c r="L1190" s="35"/>
      <c r="M1190" s="134"/>
      <c r="N1190" s="114"/>
      <c r="O1190" s="114"/>
    </row>
    <row r="1191" spans="1:15" s="25" customFormat="1" ht="14.25" x14ac:dyDescent="0.2">
      <c r="A1191" s="168"/>
      <c r="B1191" s="159"/>
      <c r="C1191" s="34"/>
      <c r="D1191" s="153"/>
      <c r="E1191" s="34"/>
      <c r="F1191" s="148"/>
      <c r="G1191" s="35"/>
      <c r="H1191" s="131"/>
      <c r="I1191" s="30"/>
      <c r="J1191" s="132"/>
      <c r="K1191" s="35"/>
      <c r="L1191" s="35"/>
      <c r="M1191" s="134"/>
      <c r="N1191" s="114"/>
      <c r="O1191" s="114"/>
    </row>
    <row r="1192" spans="1:15" s="25" customFormat="1" ht="22.5" x14ac:dyDescent="0.2">
      <c r="A1192" s="581"/>
      <c r="B1192" s="582" t="s">
        <v>247</v>
      </c>
      <c r="C1192" s="583" t="s">
        <v>847</v>
      </c>
      <c r="D1192" s="584" t="s">
        <v>727</v>
      </c>
      <c r="E1192" s="583" t="s">
        <v>227</v>
      </c>
      <c r="F1192" s="585">
        <f>'MEMÓRIA DE CÁLCULO'!AE104</f>
        <v>10</v>
      </c>
      <c r="G1192" s="586"/>
      <c r="H1192" s="588">
        <f>ROUND(SUM(H1193:H1194),2)</f>
        <v>47.9</v>
      </c>
      <c r="I1192" s="588">
        <f>ROUND(SUM(I1193:I1194),2)</f>
        <v>8.92</v>
      </c>
      <c r="J1192" s="589">
        <f>H1192+I1192</f>
        <v>56.82</v>
      </c>
      <c r="K1192" s="587">
        <f>H1192*F1192</f>
        <v>479</v>
      </c>
      <c r="L1192" s="588">
        <f>I1192*F1192</f>
        <v>89.2</v>
      </c>
      <c r="M1192" s="589">
        <f>K1192+L1192</f>
        <v>568.20000000000005</v>
      </c>
      <c r="N1192" s="585">
        <f>M1192*$N$7</f>
        <v>139.54992000000001</v>
      </c>
      <c r="O1192" s="585">
        <f>ROUND(M1192+N1192,2)</f>
        <v>707.75</v>
      </c>
    </row>
    <row r="1193" spans="1:15" s="25" customFormat="1" ht="14.25" x14ac:dyDescent="0.2">
      <c r="A1193" s="168"/>
      <c r="B1193" s="159"/>
      <c r="C1193" s="34"/>
      <c r="D1193" s="153" t="s">
        <v>250</v>
      </c>
      <c r="E1193" s="34" t="s">
        <v>229</v>
      </c>
      <c r="F1193" s="148">
        <v>1</v>
      </c>
      <c r="G1193" s="35">
        <v>8.92</v>
      </c>
      <c r="H1193" s="131"/>
      <c r="I1193" s="30">
        <f>F1193*G1193</f>
        <v>8.92</v>
      </c>
      <c r="J1193" s="132"/>
      <c r="K1193" s="35"/>
      <c r="L1193" s="35"/>
      <c r="M1193" s="134"/>
      <c r="N1193" s="114"/>
      <c r="O1193" s="114"/>
    </row>
    <row r="1194" spans="1:15" s="25" customFormat="1" ht="22.5" x14ac:dyDescent="0.2">
      <c r="A1194" s="168"/>
      <c r="B1194" s="159"/>
      <c r="C1194" s="85" t="s">
        <v>203</v>
      </c>
      <c r="D1194" s="153" t="str">
        <f>D1192</f>
        <v>Toalheiro tipo gancho em metal cromado de parafusar - referêcnia: linha Deca Flex 2060 ou similar - instalados nos sanitários e nas copas</v>
      </c>
      <c r="E1194" s="34" t="s">
        <v>251</v>
      </c>
      <c r="F1194" s="148">
        <v>1</v>
      </c>
      <c r="G1194" s="35">
        <v>47.9</v>
      </c>
      <c r="H1194" s="131">
        <f>F1194*G1194</f>
        <v>47.9</v>
      </c>
      <c r="I1194" s="30"/>
      <c r="J1194" s="132"/>
      <c r="K1194" s="35"/>
      <c r="L1194" s="35"/>
      <c r="M1194" s="134"/>
      <c r="N1194" s="114"/>
      <c r="O1194" s="114"/>
    </row>
    <row r="1195" spans="1:15" s="13" customFormat="1" ht="12.75" x14ac:dyDescent="0.25">
      <c r="A1195" s="168"/>
      <c r="B1195" s="159"/>
      <c r="C1195" s="34"/>
      <c r="D1195" s="153"/>
      <c r="E1195" s="34"/>
      <c r="F1195" s="148"/>
      <c r="G1195" s="35"/>
      <c r="H1195" s="131"/>
      <c r="I1195" s="30"/>
      <c r="J1195" s="132"/>
      <c r="K1195" s="35"/>
      <c r="L1195" s="35"/>
      <c r="M1195" s="134"/>
      <c r="N1195" s="114"/>
      <c r="O1195" s="114"/>
    </row>
    <row r="1196" spans="1:15" s="25" customFormat="1" ht="33.75" x14ac:dyDescent="0.2">
      <c r="A1196" s="581" t="s">
        <v>277</v>
      </c>
      <c r="B1196" s="582" t="s">
        <v>252</v>
      </c>
      <c r="C1196" s="583" t="s">
        <v>848</v>
      </c>
      <c r="D1196" s="584" t="s">
        <v>728</v>
      </c>
      <c r="E1196" s="583" t="s">
        <v>253</v>
      </c>
      <c r="F1196" s="585">
        <f>'MEMÓRIA DE CÁLCULO'!AD104</f>
        <v>10</v>
      </c>
      <c r="G1196" s="586"/>
      <c r="H1196" s="587">
        <v>170.49</v>
      </c>
      <c r="I1196" s="588">
        <v>3.6</v>
      </c>
      <c r="J1196" s="589">
        <f>H1196+I1196</f>
        <v>174.09</v>
      </c>
      <c r="K1196" s="587">
        <f>H1196*F1196</f>
        <v>1704.9</v>
      </c>
      <c r="L1196" s="588">
        <f>I1196*F1196</f>
        <v>36</v>
      </c>
      <c r="M1196" s="589">
        <f>K1196+L1196</f>
        <v>1740.9</v>
      </c>
      <c r="N1196" s="585">
        <f>M1196*$N$7</f>
        <v>427.56504000000007</v>
      </c>
      <c r="O1196" s="585">
        <f>ROUND(M1196+N1196,2)</f>
        <v>2168.4699999999998</v>
      </c>
    </row>
    <row r="1197" spans="1:15" s="25" customFormat="1" ht="14.25" x14ac:dyDescent="0.2">
      <c r="A1197" s="14"/>
      <c r="B1197" s="15"/>
      <c r="C1197" s="16"/>
      <c r="D1197" s="17"/>
      <c r="E1197" s="16"/>
      <c r="F1197" s="17"/>
      <c r="G1197" s="18"/>
      <c r="H1197" s="24"/>
      <c r="I1197" s="182"/>
      <c r="J1197" s="139"/>
      <c r="K1197" s="180"/>
      <c r="L1197" s="21"/>
      <c r="M1197" s="139"/>
      <c r="N1197" s="22"/>
      <c r="O1197" s="22"/>
    </row>
    <row r="1198" spans="1:15" s="25" customFormat="1" ht="33.75" x14ac:dyDescent="0.2">
      <c r="A1198" s="581" t="s">
        <v>225</v>
      </c>
      <c r="B1198" s="582" t="s">
        <v>254</v>
      </c>
      <c r="C1198" s="583" t="s">
        <v>849</v>
      </c>
      <c r="D1198" s="584" t="s">
        <v>729</v>
      </c>
      <c r="E1198" s="583" t="s">
        <v>227</v>
      </c>
      <c r="F1198" s="585">
        <f>'MEMÓRIA DE CÁLCULO'!Y104</f>
        <v>9</v>
      </c>
      <c r="G1198" s="586"/>
      <c r="H1198" s="588">
        <f>ROUND(SUM(H1199:H1202),2)</f>
        <v>206.02</v>
      </c>
      <c r="I1198" s="588">
        <f>ROUND(SUM(I1199:I1202),2)</f>
        <v>30.09</v>
      </c>
      <c r="J1198" s="589">
        <f>H1198+I1198</f>
        <v>236.11</v>
      </c>
      <c r="K1198" s="587">
        <f>H1198*F1198</f>
        <v>1854.18</v>
      </c>
      <c r="L1198" s="588">
        <f>I1198*F1198</f>
        <v>270.81</v>
      </c>
      <c r="M1198" s="589">
        <f>K1198+L1198</f>
        <v>2124.9900000000002</v>
      </c>
      <c r="N1198" s="585">
        <f>M1198*$N$7</f>
        <v>521.89754400000004</v>
      </c>
      <c r="O1198" s="585">
        <f>ROUND(M1198+N1198,2)</f>
        <v>2646.89</v>
      </c>
    </row>
    <row r="1199" spans="1:15" s="25" customFormat="1" ht="14.25" x14ac:dyDescent="0.2">
      <c r="A1199" s="168"/>
      <c r="B1199" s="159"/>
      <c r="C1199" s="34"/>
      <c r="D1199" s="153" t="s">
        <v>228</v>
      </c>
      <c r="E1199" s="34" t="s">
        <v>229</v>
      </c>
      <c r="F1199" s="148">
        <v>1.4</v>
      </c>
      <c r="G1199" s="35">
        <v>8.92</v>
      </c>
      <c r="H1199" s="131"/>
      <c r="I1199" s="30">
        <f>F1199*G1199</f>
        <v>12.488</v>
      </c>
      <c r="J1199" s="132"/>
      <c r="K1199" s="35"/>
      <c r="L1199" s="35"/>
      <c r="M1199" s="134"/>
      <c r="N1199" s="114"/>
      <c r="O1199" s="114"/>
    </row>
    <row r="1200" spans="1:15" s="25" customFormat="1" ht="14.25" x14ac:dyDescent="0.2">
      <c r="A1200" s="168"/>
      <c r="B1200" s="159"/>
      <c r="C1200" s="34"/>
      <c r="D1200" s="153" t="s">
        <v>230</v>
      </c>
      <c r="E1200" s="34" t="s">
        <v>229</v>
      </c>
      <c r="F1200" s="148">
        <v>1.4</v>
      </c>
      <c r="G1200" s="35">
        <v>12.57</v>
      </c>
      <c r="H1200" s="131"/>
      <c r="I1200" s="30">
        <f>F1200*G1200</f>
        <v>17.597999999999999</v>
      </c>
      <c r="J1200" s="132"/>
      <c r="K1200" s="35"/>
      <c r="L1200" s="35"/>
      <c r="M1200" s="134"/>
      <c r="N1200" s="114"/>
      <c r="O1200" s="114"/>
    </row>
    <row r="1201" spans="1:15" s="25" customFormat="1" ht="22.5" x14ac:dyDescent="0.2">
      <c r="A1201" s="168"/>
      <c r="B1201" s="159"/>
      <c r="C1201" s="34"/>
      <c r="D1201" s="153" t="s">
        <v>217</v>
      </c>
      <c r="E1201" s="34" t="s">
        <v>227</v>
      </c>
      <c r="F1201" s="148">
        <v>0.94</v>
      </c>
      <c r="G1201" s="35">
        <v>0.13</v>
      </c>
      <c r="H1201" s="131">
        <f>F1201*G1201</f>
        <v>0.1222</v>
      </c>
      <c r="I1201" s="30"/>
      <c r="J1201" s="132"/>
      <c r="K1201" s="35"/>
      <c r="L1201" s="35"/>
      <c r="M1201" s="134"/>
      <c r="N1201" s="114"/>
      <c r="O1201" s="114"/>
    </row>
    <row r="1202" spans="1:15" s="25" customFormat="1" ht="33.75" x14ac:dyDescent="0.2">
      <c r="A1202" s="168"/>
      <c r="B1202" s="159"/>
      <c r="C1202" s="85" t="s">
        <v>203</v>
      </c>
      <c r="D1202" s="153" t="str">
        <f>D1198</f>
        <v>Torneira de pressão cromada para lavatório com fechamento automático - Referência: Torneira Lavatório uso público mesa Pressmatic Alfa CR 446106 - Docol ou similar - fechamaneto automático ou similar</v>
      </c>
      <c r="E1202" s="34" t="s">
        <v>227</v>
      </c>
      <c r="F1202" s="148">
        <v>1</v>
      </c>
      <c r="G1202" s="35">
        <v>205.9</v>
      </c>
      <c r="H1202" s="131">
        <f>F1202*G1202</f>
        <v>205.9</v>
      </c>
      <c r="I1202" s="30"/>
      <c r="J1202" s="132"/>
      <c r="K1202" s="35"/>
      <c r="L1202" s="35"/>
      <c r="M1202" s="134"/>
      <c r="N1202" s="114"/>
      <c r="O1202" s="114"/>
    </row>
    <row r="1203" spans="1:15" s="25" customFormat="1" ht="14.25" x14ac:dyDescent="0.2">
      <c r="A1203" s="168"/>
      <c r="B1203" s="159"/>
      <c r="C1203" s="34"/>
      <c r="D1203" s="153"/>
      <c r="E1203" s="34"/>
      <c r="F1203" s="148"/>
      <c r="G1203" s="35"/>
      <c r="H1203" s="131"/>
      <c r="I1203" s="30"/>
      <c r="J1203" s="132"/>
      <c r="K1203" s="35"/>
      <c r="L1203" s="35"/>
      <c r="M1203" s="134"/>
      <c r="N1203" s="114"/>
      <c r="O1203" s="114"/>
    </row>
    <row r="1204" spans="1:15" s="25" customFormat="1" ht="22.5" x14ac:dyDescent="0.2">
      <c r="A1204" s="581" t="s">
        <v>225</v>
      </c>
      <c r="B1204" s="582" t="s">
        <v>255</v>
      </c>
      <c r="C1204" s="583" t="s">
        <v>965</v>
      </c>
      <c r="D1204" s="584" t="s">
        <v>730</v>
      </c>
      <c r="E1204" s="583" t="s">
        <v>227</v>
      </c>
      <c r="F1204" s="585">
        <f>'MEMÓRIA DE CÁLCULO'!X104</f>
        <v>1</v>
      </c>
      <c r="G1204" s="586"/>
      <c r="H1204" s="588">
        <f>ROUND(SUM(H1205:H1208),2)</f>
        <v>231.35</v>
      </c>
      <c r="I1204" s="588">
        <f>ROUND(SUM(I1205:I1208),2)</f>
        <v>30.09</v>
      </c>
      <c r="J1204" s="589">
        <f>H1204+I1204</f>
        <v>261.44</v>
      </c>
      <c r="K1204" s="587">
        <f>H1204*F1204</f>
        <v>231.35</v>
      </c>
      <c r="L1204" s="588">
        <f>I1204*F1204</f>
        <v>30.09</v>
      </c>
      <c r="M1204" s="589">
        <f>K1204+L1204</f>
        <v>261.44</v>
      </c>
      <c r="N1204" s="585">
        <f>M1204*$N$7</f>
        <v>64.209664000000004</v>
      </c>
      <c r="O1204" s="585">
        <f>ROUND(M1204+N1204,2)</f>
        <v>325.64999999999998</v>
      </c>
    </row>
    <row r="1205" spans="1:15" s="25" customFormat="1" ht="14.25" x14ac:dyDescent="0.2">
      <c r="A1205" s="168"/>
      <c r="B1205" s="159"/>
      <c r="C1205" s="34"/>
      <c r="D1205" s="153" t="s">
        <v>228</v>
      </c>
      <c r="E1205" s="34" t="s">
        <v>229</v>
      </c>
      <c r="F1205" s="148">
        <v>1.4</v>
      </c>
      <c r="G1205" s="35">
        <v>8.92</v>
      </c>
      <c r="H1205" s="131"/>
      <c r="I1205" s="30">
        <f>F1205*G1205</f>
        <v>12.488</v>
      </c>
      <c r="J1205" s="132"/>
      <c r="K1205" s="35"/>
      <c r="L1205" s="35"/>
      <c r="M1205" s="134"/>
      <c r="N1205" s="114"/>
      <c r="O1205" s="114"/>
    </row>
    <row r="1206" spans="1:15" s="25" customFormat="1" ht="14.25" x14ac:dyDescent="0.2">
      <c r="A1206" s="168"/>
      <c r="B1206" s="159"/>
      <c r="C1206" s="34"/>
      <c r="D1206" s="153" t="s">
        <v>230</v>
      </c>
      <c r="E1206" s="34" t="s">
        <v>229</v>
      </c>
      <c r="F1206" s="148">
        <v>1.4</v>
      </c>
      <c r="G1206" s="35">
        <v>12.57</v>
      </c>
      <c r="H1206" s="131"/>
      <c r="I1206" s="30">
        <f>F1206*G1206</f>
        <v>17.597999999999999</v>
      </c>
      <c r="J1206" s="132"/>
      <c r="K1206" s="35"/>
      <c r="L1206" s="35"/>
      <c r="M1206" s="134"/>
      <c r="N1206" s="114"/>
      <c r="O1206" s="114"/>
    </row>
    <row r="1207" spans="1:15" s="25" customFormat="1" ht="14.25" x14ac:dyDescent="0.2">
      <c r="A1207" s="168"/>
      <c r="B1207" s="159"/>
      <c r="C1207" s="85" t="s">
        <v>203</v>
      </c>
      <c r="D1207" s="153" t="s">
        <v>151</v>
      </c>
      <c r="E1207" s="34" t="s">
        <v>227</v>
      </c>
      <c r="F1207" s="148">
        <v>1</v>
      </c>
      <c r="G1207" s="35">
        <v>231.23</v>
      </c>
      <c r="H1207" s="131">
        <f>F1207*G1207</f>
        <v>231.23</v>
      </c>
      <c r="I1207" s="30"/>
      <c r="J1207" s="132"/>
      <c r="K1207" s="35"/>
      <c r="L1207" s="35"/>
      <c r="M1207" s="134"/>
      <c r="N1207" s="114"/>
      <c r="O1207" s="114"/>
    </row>
    <row r="1208" spans="1:15" s="25" customFormat="1" ht="22.5" x14ac:dyDescent="0.2">
      <c r="A1208" s="168"/>
      <c r="B1208" s="159"/>
      <c r="C1208" s="34"/>
      <c r="D1208" s="153" t="s">
        <v>217</v>
      </c>
      <c r="E1208" s="34" t="s">
        <v>227</v>
      </c>
      <c r="F1208" s="148">
        <v>0.94</v>
      </c>
      <c r="G1208" s="35">
        <v>0.13</v>
      </c>
      <c r="H1208" s="131">
        <f>F1208*G1208</f>
        <v>0.1222</v>
      </c>
      <c r="I1208" s="30"/>
      <c r="J1208" s="132"/>
      <c r="K1208" s="35"/>
      <c r="L1208" s="35"/>
      <c r="M1208" s="134"/>
      <c r="N1208" s="114"/>
      <c r="O1208" s="114"/>
    </row>
    <row r="1209" spans="1:15" s="25" customFormat="1" ht="14.25" x14ac:dyDescent="0.2">
      <c r="A1209" s="168"/>
      <c r="B1209" s="159"/>
      <c r="C1209" s="34"/>
      <c r="D1209" s="153"/>
      <c r="E1209" s="34"/>
      <c r="F1209" s="148"/>
      <c r="G1209" s="35"/>
      <c r="H1209" s="131"/>
      <c r="I1209" s="30"/>
      <c r="J1209" s="132"/>
      <c r="K1209" s="35"/>
      <c r="L1209" s="35"/>
      <c r="M1209" s="134"/>
      <c r="N1209" s="114"/>
      <c r="O1209" s="114"/>
    </row>
    <row r="1210" spans="1:15" s="25" customFormat="1" ht="22.5" x14ac:dyDescent="0.2">
      <c r="A1210" s="581"/>
      <c r="B1210" s="582" t="s">
        <v>247</v>
      </c>
      <c r="C1210" s="583" t="s">
        <v>841</v>
      </c>
      <c r="D1210" s="584" t="s">
        <v>732</v>
      </c>
      <c r="E1210" s="583" t="s">
        <v>227</v>
      </c>
      <c r="F1210" s="585">
        <f>'MEMÓRIA DE CÁLCULO'!AB104</f>
        <v>2</v>
      </c>
      <c r="G1210" s="586"/>
      <c r="H1210" s="588">
        <f>ROUND(SUM(H1211:H1213),2)</f>
        <v>305.3</v>
      </c>
      <c r="I1210" s="588">
        <f>ROUND(SUM(I1211:I1213),2)</f>
        <v>21.49</v>
      </c>
      <c r="J1210" s="589">
        <f>H1210+I1210</f>
        <v>326.79000000000002</v>
      </c>
      <c r="K1210" s="587">
        <f>H1210*F1210</f>
        <v>610.6</v>
      </c>
      <c r="L1210" s="588">
        <f>I1210*F1210</f>
        <v>42.98</v>
      </c>
      <c r="M1210" s="589">
        <f>K1210+L1210</f>
        <v>653.58000000000004</v>
      </c>
      <c r="N1210" s="585">
        <f>M1210*$N$7</f>
        <v>160.519248</v>
      </c>
      <c r="O1210" s="585">
        <f>ROUND(M1210+N1210,2)</f>
        <v>814.1</v>
      </c>
    </row>
    <row r="1211" spans="1:15" s="25" customFormat="1" ht="14.25" x14ac:dyDescent="0.2">
      <c r="A1211" s="168"/>
      <c r="B1211" s="159"/>
      <c r="C1211" s="34"/>
      <c r="D1211" s="153" t="s">
        <v>243</v>
      </c>
      <c r="E1211" s="34" t="s">
        <v>229</v>
      </c>
      <c r="F1211" s="148">
        <v>1</v>
      </c>
      <c r="G1211" s="35">
        <v>12.57</v>
      </c>
      <c r="H1211" s="131"/>
      <c r="I1211" s="30">
        <f>F1211*G1211</f>
        <v>12.57</v>
      </c>
      <c r="J1211" s="132"/>
      <c r="K1211" s="35"/>
      <c r="L1211" s="35"/>
      <c r="M1211" s="134"/>
      <c r="N1211" s="114"/>
      <c r="O1211" s="114"/>
    </row>
    <row r="1212" spans="1:15" s="25" customFormat="1" ht="14.25" x14ac:dyDescent="0.2">
      <c r="A1212" s="168"/>
      <c r="B1212" s="159"/>
      <c r="C1212" s="34"/>
      <c r="D1212" s="153" t="s">
        <v>207</v>
      </c>
      <c r="E1212" s="34" t="s">
        <v>229</v>
      </c>
      <c r="F1212" s="148">
        <v>1</v>
      </c>
      <c r="G1212" s="35">
        <v>8.92</v>
      </c>
      <c r="H1212" s="131"/>
      <c r="I1212" s="30">
        <f>F1212*G1212</f>
        <v>8.92</v>
      </c>
      <c r="J1212" s="132"/>
      <c r="K1212" s="35"/>
      <c r="L1212" s="35"/>
      <c r="M1212" s="134"/>
      <c r="N1212" s="114"/>
      <c r="O1212" s="114"/>
    </row>
    <row r="1213" spans="1:15" s="25" customFormat="1" ht="22.5" x14ac:dyDescent="0.2">
      <c r="A1213" s="168"/>
      <c r="B1213" s="159"/>
      <c r="C1213" s="85" t="s">
        <v>203</v>
      </c>
      <c r="D1213" s="153" t="s">
        <v>256</v>
      </c>
      <c r="E1213" s="34" t="s">
        <v>227</v>
      </c>
      <c r="F1213" s="148">
        <v>1</v>
      </c>
      <c r="G1213" s="35">
        <v>297.3</v>
      </c>
      <c r="H1213" s="131">
        <v>305.3</v>
      </c>
      <c r="I1213" s="30"/>
      <c r="J1213" s="132"/>
      <c r="K1213" s="35"/>
      <c r="L1213" s="35"/>
      <c r="M1213" s="134"/>
      <c r="N1213" s="114"/>
      <c r="O1213" s="114"/>
    </row>
    <row r="1214" spans="1:15" s="25" customFormat="1" ht="14.25" x14ac:dyDescent="0.2">
      <c r="A1214" s="168"/>
      <c r="B1214" s="159"/>
      <c r="C1214" s="34"/>
      <c r="D1214" s="153"/>
      <c r="E1214" s="34"/>
      <c r="F1214" s="148"/>
      <c r="G1214" s="35"/>
      <c r="H1214" s="131"/>
      <c r="I1214" s="30"/>
      <c r="J1214" s="132"/>
      <c r="K1214" s="35"/>
      <c r="L1214" s="35"/>
      <c r="M1214" s="134"/>
      <c r="N1214" s="114"/>
      <c r="O1214" s="114"/>
    </row>
    <row r="1215" spans="1:15" s="25" customFormat="1" ht="33.75" x14ac:dyDescent="0.2">
      <c r="A1215" s="581"/>
      <c r="B1215" s="582" t="s">
        <v>247</v>
      </c>
      <c r="C1215" s="583" t="s">
        <v>966</v>
      </c>
      <c r="D1215" s="584" t="s">
        <v>733</v>
      </c>
      <c r="E1215" s="583" t="s">
        <v>227</v>
      </c>
      <c r="F1215" s="585">
        <f>'MEMÓRIA DE CÁLCULO'!AC104</f>
        <v>1</v>
      </c>
      <c r="G1215" s="586"/>
      <c r="H1215" s="588">
        <f>ROUND(SUM(H1216:H1218),2)</f>
        <v>102.25</v>
      </c>
      <c r="I1215" s="588">
        <f>ROUND(SUM(I1216:I1218),2)</f>
        <v>21.49</v>
      </c>
      <c r="J1215" s="589">
        <f>H1215+I1215</f>
        <v>123.74</v>
      </c>
      <c r="K1215" s="587">
        <f>H1215*F1215</f>
        <v>102.25</v>
      </c>
      <c r="L1215" s="588">
        <f>I1215*F1215</f>
        <v>21.49</v>
      </c>
      <c r="M1215" s="589">
        <f>K1215+L1215</f>
        <v>123.74</v>
      </c>
      <c r="N1215" s="585">
        <f>M1215*$N$7</f>
        <v>30.390544000000002</v>
      </c>
      <c r="O1215" s="585">
        <f>ROUND(M1215+N1215,2)</f>
        <v>154.13</v>
      </c>
    </row>
    <row r="1216" spans="1:15" s="25" customFormat="1" ht="14.25" x14ac:dyDescent="0.2">
      <c r="A1216" s="169" t="s">
        <v>327</v>
      </c>
      <c r="B1216" s="159"/>
      <c r="C1216" s="34"/>
      <c r="D1216" s="153" t="s">
        <v>243</v>
      </c>
      <c r="E1216" s="34" t="s">
        <v>229</v>
      </c>
      <c r="F1216" s="148">
        <v>1</v>
      </c>
      <c r="G1216" s="35">
        <v>12.57</v>
      </c>
      <c r="H1216" s="131"/>
      <c r="I1216" s="30">
        <f>F1216*G1216</f>
        <v>12.57</v>
      </c>
      <c r="J1216" s="132"/>
      <c r="K1216" s="35"/>
      <c r="L1216" s="35"/>
      <c r="M1216" s="134"/>
      <c r="N1216" s="114"/>
      <c r="O1216" s="114"/>
    </row>
    <row r="1217" spans="1:15" s="25" customFormat="1" ht="14.25" x14ac:dyDescent="0.2">
      <c r="A1217" s="168"/>
      <c r="B1217" s="159"/>
      <c r="C1217" s="34"/>
      <c r="D1217" s="153" t="s">
        <v>207</v>
      </c>
      <c r="E1217" s="34" t="s">
        <v>229</v>
      </c>
      <c r="F1217" s="148">
        <v>1</v>
      </c>
      <c r="G1217" s="35">
        <v>8.92</v>
      </c>
      <c r="H1217" s="131"/>
      <c r="I1217" s="30">
        <f>F1217*G1217</f>
        <v>8.92</v>
      </c>
      <c r="J1217" s="132"/>
      <c r="K1217" s="35"/>
      <c r="L1217" s="35"/>
      <c r="M1217" s="134"/>
      <c r="N1217" s="114"/>
      <c r="O1217" s="114"/>
    </row>
    <row r="1218" spans="1:15" s="25" customFormat="1" ht="22.5" x14ac:dyDescent="0.2">
      <c r="A1218" s="168"/>
      <c r="B1218" s="159"/>
      <c r="C1218" s="85" t="s">
        <v>203</v>
      </c>
      <c r="D1218" s="153" t="s">
        <v>257</v>
      </c>
      <c r="E1218" s="34" t="s">
        <v>227</v>
      </c>
      <c r="F1218" s="148">
        <v>1</v>
      </c>
      <c r="G1218" s="35">
        <v>102.25</v>
      </c>
      <c r="H1218" s="131">
        <f>F1218*G1218</f>
        <v>102.25</v>
      </c>
      <c r="I1218" s="30"/>
      <c r="J1218" s="132"/>
      <c r="K1218" s="35"/>
      <c r="L1218" s="35"/>
      <c r="M1218" s="134"/>
      <c r="N1218" s="114"/>
      <c r="O1218" s="114"/>
    </row>
    <row r="1219" spans="1:15" s="25" customFormat="1" ht="14.25" x14ac:dyDescent="0.2">
      <c r="A1219" s="168"/>
      <c r="B1219" s="159"/>
      <c r="C1219" s="34"/>
      <c r="D1219" s="153"/>
      <c r="E1219" s="34"/>
      <c r="F1219" s="148"/>
      <c r="G1219" s="35"/>
      <c r="H1219" s="131"/>
      <c r="I1219" s="30"/>
      <c r="J1219" s="132"/>
      <c r="K1219" s="35"/>
      <c r="L1219" s="35"/>
      <c r="M1219" s="134"/>
      <c r="N1219" s="114"/>
      <c r="O1219" s="114"/>
    </row>
    <row r="1220" spans="1:15" s="25" customFormat="1" ht="22.5" x14ac:dyDescent="0.2">
      <c r="A1220" s="581" t="s">
        <v>225</v>
      </c>
      <c r="B1220" s="582" t="s">
        <v>179</v>
      </c>
      <c r="C1220" s="583" t="s">
        <v>850</v>
      </c>
      <c r="D1220" s="584" t="s">
        <v>735</v>
      </c>
      <c r="E1220" s="583" t="s">
        <v>227</v>
      </c>
      <c r="F1220" s="585">
        <f>'MEMÓRIA DE CÁLCULO'!U104</f>
        <v>1</v>
      </c>
      <c r="G1220" s="586"/>
      <c r="H1220" s="588">
        <f>ROUND(SUM(H1221:H1225),2)</f>
        <v>79.959999999999994</v>
      </c>
      <c r="I1220" s="588">
        <f>ROUND(SUM(I1221:I1225),2)</f>
        <v>42.98</v>
      </c>
      <c r="J1220" s="589">
        <f>H1220+I1220</f>
        <v>122.94</v>
      </c>
      <c r="K1220" s="587">
        <f>H1220*F1220</f>
        <v>79.959999999999994</v>
      </c>
      <c r="L1220" s="588">
        <f>I1220*F1220</f>
        <v>42.98</v>
      </c>
      <c r="M1220" s="589">
        <f>K1220+L1220</f>
        <v>122.94</v>
      </c>
      <c r="N1220" s="585">
        <f>M1220*$N$7</f>
        <v>30.194064000000001</v>
      </c>
      <c r="O1220" s="585">
        <f>ROUND(M1220+N1220,2)</f>
        <v>153.13</v>
      </c>
    </row>
    <row r="1221" spans="1:15" s="25" customFormat="1" ht="14.25" x14ac:dyDescent="0.2">
      <c r="A1221" s="168"/>
      <c r="B1221" s="159"/>
      <c r="C1221" s="34"/>
      <c r="D1221" s="153" t="s">
        <v>228</v>
      </c>
      <c r="E1221" s="34" t="s">
        <v>229</v>
      </c>
      <c r="F1221" s="148">
        <v>2</v>
      </c>
      <c r="G1221" s="35">
        <v>8.92</v>
      </c>
      <c r="H1221" s="131"/>
      <c r="I1221" s="30">
        <f>F1221*G1221</f>
        <v>17.84</v>
      </c>
      <c r="J1221" s="132"/>
      <c r="K1221" s="35"/>
      <c r="L1221" s="35"/>
      <c r="M1221" s="134"/>
      <c r="N1221" s="114"/>
      <c r="O1221" s="114"/>
    </row>
    <row r="1222" spans="1:15" s="25" customFormat="1" ht="14.25" x14ac:dyDescent="0.2">
      <c r="A1222" s="168"/>
      <c r="B1222" s="159"/>
      <c r="C1222" s="34"/>
      <c r="D1222" s="153" t="s">
        <v>230</v>
      </c>
      <c r="E1222" s="34" t="s">
        <v>229</v>
      </c>
      <c r="F1222" s="148">
        <v>2</v>
      </c>
      <c r="G1222" s="35">
        <v>12.57</v>
      </c>
      <c r="H1222" s="131"/>
      <c r="I1222" s="30">
        <f>F1222*G1222</f>
        <v>25.14</v>
      </c>
      <c r="J1222" s="132"/>
      <c r="K1222" s="35"/>
      <c r="L1222" s="35"/>
      <c r="M1222" s="134"/>
      <c r="N1222" s="114"/>
      <c r="O1222" s="114"/>
    </row>
    <row r="1223" spans="1:15" s="25" customFormat="1" ht="22.5" x14ac:dyDescent="0.2">
      <c r="A1223" s="168"/>
      <c r="B1223" s="159"/>
      <c r="C1223" s="34"/>
      <c r="D1223" s="153" t="str">
        <f>D1220</f>
        <v>Base para válvula de descarga metálica Ø 32 mm (1 1/4") ou 40 mm (1 1/2")  - Referência: Docol Salvágua cromado 451106 - botão de duplo acionamento  (pne)</v>
      </c>
      <c r="E1223" s="34" t="s">
        <v>248</v>
      </c>
      <c r="F1223" s="148">
        <v>1</v>
      </c>
      <c r="G1223" s="35">
        <v>62.72</v>
      </c>
      <c r="H1223" s="131">
        <f>F1223*G1223</f>
        <v>62.72</v>
      </c>
      <c r="I1223" s="30"/>
      <c r="J1223" s="132"/>
      <c r="K1223" s="35"/>
      <c r="L1223" s="35"/>
      <c r="M1223" s="134"/>
      <c r="N1223" s="114"/>
      <c r="O1223" s="114"/>
    </row>
    <row r="1224" spans="1:15" s="25" customFormat="1" ht="22.5" x14ac:dyDescent="0.2">
      <c r="A1224" s="168"/>
      <c r="B1224" s="159"/>
      <c r="C1224" s="34"/>
      <c r="D1224" s="153" t="s">
        <v>180</v>
      </c>
      <c r="E1224" s="34" t="s">
        <v>227</v>
      </c>
      <c r="F1224" s="148">
        <v>0.6</v>
      </c>
      <c r="G1224" s="35">
        <v>28.33</v>
      </c>
      <c r="H1224" s="131">
        <f>F1224*G1224</f>
        <v>16.997999999999998</v>
      </c>
      <c r="I1224" s="30"/>
      <c r="J1224" s="132"/>
      <c r="K1224" s="35"/>
      <c r="L1224" s="35"/>
      <c r="M1224" s="134"/>
      <c r="N1224" s="114"/>
      <c r="O1224" s="114"/>
    </row>
    <row r="1225" spans="1:15" s="25" customFormat="1" ht="22.5" x14ac:dyDescent="0.2">
      <c r="A1225" s="168"/>
      <c r="B1225" s="159"/>
      <c r="C1225" s="34"/>
      <c r="D1225" s="153" t="s">
        <v>217</v>
      </c>
      <c r="E1225" s="34" t="s">
        <v>227</v>
      </c>
      <c r="F1225" s="148">
        <v>1.88</v>
      </c>
      <c r="G1225" s="35">
        <v>0.13</v>
      </c>
      <c r="H1225" s="131">
        <f>F1225*G1225</f>
        <v>0.24440000000000001</v>
      </c>
      <c r="I1225" s="30"/>
      <c r="J1225" s="132"/>
      <c r="K1225" s="35"/>
      <c r="L1225" s="35"/>
      <c r="M1225" s="134"/>
      <c r="N1225" s="114"/>
      <c r="O1225" s="114"/>
    </row>
    <row r="1226" spans="1:15" s="25" customFormat="1" ht="14.25" x14ac:dyDescent="0.2">
      <c r="A1226" s="168"/>
      <c r="B1226" s="159"/>
      <c r="C1226" s="34"/>
      <c r="D1226" s="153" t="s">
        <v>288</v>
      </c>
      <c r="E1226" s="34"/>
      <c r="F1226" s="148"/>
      <c r="G1226" s="35"/>
      <c r="H1226" s="131"/>
      <c r="I1226" s="30"/>
      <c r="J1226" s="132"/>
      <c r="K1226" s="35"/>
      <c r="L1226" s="35"/>
      <c r="M1226" s="134"/>
      <c r="N1226" s="114"/>
      <c r="O1226" s="114"/>
    </row>
    <row r="1227" spans="1:15" s="25" customFormat="1" ht="33.75" x14ac:dyDescent="0.2">
      <c r="A1227" s="581"/>
      <c r="B1227" s="582" t="s">
        <v>181</v>
      </c>
      <c r="C1227" s="583" t="s">
        <v>967</v>
      </c>
      <c r="D1227" s="584" t="s">
        <v>736</v>
      </c>
      <c r="E1227" s="583" t="s">
        <v>227</v>
      </c>
      <c r="F1227" s="585">
        <f>F1220</f>
        <v>1</v>
      </c>
      <c r="G1227" s="586"/>
      <c r="H1227" s="588">
        <f>ROUND(SUM(H1228:H1229),2)</f>
        <v>398.64</v>
      </c>
      <c r="I1227" s="588">
        <f>ROUND(SUM(I1228:I1229),2)</f>
        <v>6.69</v>
      </c>
      <c r="J1227" s="589">
        <f>H1227+I1227</f>
        <v>405.33</v>
      </c>
      <c r="K1227" s="587">
        <f>H1227*F1227</f>
        <v>398.64</v>
      </c>
      <c r="L1227" s="588">
        <f>I1227*F1227</f>
        <v>6.69</v>
      </c>
      <c r="M1227" s="589">
        <f>K1227+L1227</f>
        <v>405.33</v>
      </c>
      <c r="N1227" s="585">
        <f>M1227*$N$7</f>
        <v>99.549047999999999</v>
      </c>
      <c r="O1227" s="585">
        <f>ROUND(M1227+N1227,2)</f>
        <v>504.88</v>
      </c>
    </row>
    <row r="1228" spans="1:15" s="25" customFormat="1" ht="14.25" x14ac:dyDescent="0.2">
      <c r="A1228" s="168"/>
      <c r="B1228" s="159"/>
      <c r="C1228" s="34"/>
      <c r="D1228" s="153" t="s">
        <v>228</v>
      </c>
      <c r="E1228" s="34" t="s">
        <v>229</v>
      </c>
      <c r="F1228" s="148">
        <v>0.75</v>
      </c>
      <c r="G1228" s="35">
        <v>8.92</v>
      </c>
      <c r="H1228" s="131"/>
      <c r="I1228" s="30">
        <f>F1228*G1228</f>
        <v>6.6899999999999995</v>
      </c>
      <c r="J1228" s="132"/>
      <c r="K1228" s="35"/>
      <c r="L1228" s="35"/>
      <c r="M1228" s="134"/>
      <c r="N1228" s="114"/>
      <c r="O1228" s="114"/>
    </row>
    <row r="1229" spans="1:15" s="25" customFormat="1" ht="33.75" x14ac:dyDescent="0.2">
      <c r="A1229" s="168"/>
      <c r="B1229" s="159"/>
      <c r="C1229" s="85" t="s">
        <v>203</v>
      </c>
      <c r="D1229" s="153" t="str">
        <f>D1227</f>
        <v>Acabamento cromado para válvula de descarga tipo barra para acionamento - referência: Acabamento Válv. Desc. 1.1/2" Benefit Cr 184906 - Docol ou similar (pne)</v>
      </c>
      <c r="E1229" s="34" t="s">
        <v>248</v>
      </c>
      <c r="F1229" s="148">
        <v>1</v>
      </c>
      <c r="G1229" s="35">
        <v>398.64</v>
      </c>
      <c r="H1229" s="131">
        <f>F1229*G1229</f>
        <v>398.64</v>
      </c>
      <c r="I1229" s="30"/>
      <c r="J1229" s="132"/>
      <c r="K1229" s="35"/>
      <c r="L1229" s="35"/>
      <c r="M1229" s="134"/>
      <c r="N1229" s="114"/>
      <c r="O1229" s="114"/>
    </row>
    <row r="1230" spans="1:15" s="13" customFormat="1" ht="12.75" x14ac:dyDescent="0.25">
      <c r="A1230" s="14"/>
      <c r="B1230" s="15"/>
      <c r="C1230" s="16"/>
      <c r="D1230" s="17"/>
      <c r="E1230" s="16"/>
      <c r="F1230" s="15"/>
      <c r="G1230" s="16"/>
      <c r="H1230" s="177"/>
      <c r="I1230" s="178"/>
      <c r="J1230" s="183"/>
      <c r="K1230" s="16"/>
      <c r="L1230" s="177"/>
      <c r="M1230" s="178"/>
      <c r="N1230" s="176"/>
      <c r="O1230" s="22"/>
    </row>
    <row r="1231" spans="1:15" s="25" customFormat="1" ht="14.25" x14ac:dyDescent="0.2">
      <c r="A1231" s="167"/>
      <c r="B1231" s="149"/>
      <c r="C1231" s="152"/>
      <c r="D1231" s="154" t="s">
        <v>221</v>
      </c>
      <c r="E1231" s="152"/>
      <c r="F1231" s="113"/>
      <c r="G1231" s="145"/>
      <c r="H1231" s="127"/>
      <c r="I1231" s="37"/>
      <c r="J1231" s="128"/>
      <c r="K1231" s="179"/>
      <c r="L1231" s="37"/>
      <c r="M1231" s="128"/>
      <c r="N1231" s="113"/>
      <c r="O1231" s="113"/>
    </row>
    <row r="1232" spans="1:15" s="25" customFormat="1" ht="14.25" x14ac:dyDescent="0.2">
      <c r="A1232" s="166"/>
      <c r="B1232" s="160"/>
      <c r="C1232" s="31"/>
      <c r="D1232" s="146" t="s">
        <v>288</v>
      </c>
      <c r="E1232" s="32"/>
      <c r="F1232" s="147"/>
      <c r="G1232" s="33"/>
      <c r="H1232" s="129"/>
      <c r="I1232" s="29"/>
      <c r="J1232" s="130"/>
      <c r="K1232" s="33"/>
      <c r="L1232" s="33"/>
      <c r="M1232" s="136"/>
      <c r="N1232" s="115"/>
      <c r="O1232" s="115"/>
    </row>
    <row r="1233" spans="1:15" s="25" customFormat="1" ht="22.5" x14ac:dyDescent="0.2">
      <c r="A1233" s="581" t="s">
        <v>277</v>
      </c>
      <c r="B1233" s="582">
        <v>40777</v>
      </c>
      <c r="C1233" s="583" t="s">
        <v>968</v>
      </c>
      <c r="D1233" s="584" t="s">
        <v>65</v>
      </c>
      <c r="E1233" s="583" t="s">
        <v>281</v>
      </c>
      <c r="F1233" s="585">
        <f>'MEMÓRIA DE CÁLCULO'!AA104</f>
        <v>8</v>
      </c>
      <c r="G1233" s="586"/>
      <c r="H1233" s="587">
        <v>22.77</v>
      </c>
      <c r="I1233" s="588">
        <f>1.01*10.73</f>
        <v>10.837300000000001</v>
      </c>
      <c r="J1233" s="589">
        <f>H1233+I1233</f>
        <v>33.607300000000002</v>
      </c>
      <c r="K1233" s="587">
        <f>H1233*F1233</f>
        <v>182.16</v>
      </c>
      <c r="L1233" s="588">
        <f>I1233*F1233</f>
        <v>86.698400000000007</v>
      </c>
      <c r="M1233" s="589">
        <f>K1233+L1233</f>
        <v>268.85840000000002</v>
      </c>
      <c r="N1233" s="585">
        <f>M1233*$N$7</f>
        <v>66.031623040000014</v>
      </c>
      <c r="O1233" s="585">
        <f>ROUND(M1233+N1233,2)</f>
        <v>334.89</v>
      </c>
    </row>
    <row r="1234" spans="1:15" s="25" customFormat="1" ht="14.25" x14ac:dyDescent="0.2">
      <c r="A1234" s="166"/>
      <c r="B1234" s="160"/>
      <c r="C1234" s="31"/>
      <c r="D1234" s="146" t="s">
        <v>288</v>
      </c>
      <c r="E1234" s="32"/>
      <c r="F1234" s="147"/>
      <c r="G1234" s="33"/>
      <c r="H1234" s="129"/>
      <c r="I1234" s="29"/>
      <c r="J1234" s="130"/>
      <c r="K1234" s="33"/>
      <c r="L1234" s="33"/>
      <c r="M1234" s="136"/>
      <c r="N1234" s="115"/>
      <c r="O1234" s="115"/>
    </row>
    <row r="1235" spans="1:15" s="25" customFormat="1" ht="14.25" x14ac:dyDescent="0.2">
      <c r="A1235" s="581" t="s">
        <v>278</v>
      </c>
      <c r="B1235" s="582">
        <v>14001000005</v>
      </c>
      <c r="C1235" s="583" t="s">
        <v>969</v>
      </c>
      <c r="D1235" s="584" t="s">
        <v>737</v>
      </c>
      <c r="E1235" s="583" t="s">
        <v>281</v>
      </c>
      <c r="F1235" s="585">
        <v>1</v>
      </c>
      <c r="G1235" s="586"/>
      <c r="H1235" s="588">
        <f>ROUND(SUM(H1236:H1239),2)</f>
        <v>40.159999999999997</v>
      </c>
      <c r="I1235" s="588">
        <f>ROUND(SUM(I1236:I1239),2)</f>
        <v>9.67</v>
      </c>
      <c r="J1235" s="589">
        <f>H1235+I1235</f>
        <v>49.83</v>
      </c>
      <c r="K1235" s="587">
        <f>H1235*F1235</f>
        <v>40.159999999999997</v>
      </c>
      <c r="L1235" s="588">
        <f>I1235*F1235</f>
        <v>9.67</v>
      </c>
      <c r="M1235" s="589">
        <f>K1235+L1235</f>
        <v>49.83</v>
      </c>
      <c r="N1235" s="585">
        <f>M1235*$N$7</f>
        <v>12.238248</v>
      </c>
      <c r="O1235" s="585">
        <f>ROUND(M1235+N1235,2)</f>
        <v>62.07</v>
      </c>
    </row>
    <row r="1236" spans="1:15" s="369" customFormat="1" ht="11.25" x14ac:dyDescent="0.25">
      <c r="A1236" s="362"/>
      <c r="B1236" s="363"/>
      <c r="C1236" s="364"/>
      <c r="D1236" s="365" t="s">
        <v>228</v>
      </c>
      <c r="E1236" s="366" t="s">
        <v>229</v>
      </c>
      <c r="F1236" s="367">
        <v>0.45</v>
      </c>
      <c r="G1236" s="35">
        <v>8.92</v>
      </c>
      <c r="H1236" s="133"/>
      <c r="I1236" s="35">
        <f>F1236*G1236</f>
        <v>4.0140000000000002</v>
      </c>
      <c r="J1236" s="134"/>
      <c r="K1236" s="133"/>
      <c r="L1236" s="35"/>
      <c r="M1236" s="134"/>
      <c r="N1236" s="117"/>
      <c r="O1236" s="368"/>
    </row>
    <row r="1237" spans="1:15" s="369" customFormat="1" ht="11.25" x14ac:dyDescent="0.25">
      <c r="A1237" s="362"/>
      <c r="B1237" s="363"/>
      <c r="C1237" s="364"/>
      <c r="D1237" s="365" t="s">
        <v>230</v>
      </c>
      <c r="E1237" s="366" t="s">
        <v>229</v>
      </c>
      <c r="F1237" s="367">
        <v>0.45</v>
      </c>
      <c r="G1237" s="35">
        <v>12.57</v>
      </c>
      <c r="H1237" s="133"/>
      <c r="I1237" s="35">
        <f>F1237*G1237</f>
        <v>5.6565000000000003</v>
      </c>
      <c r="J1237" s="134"/>
      <c r="K1237" s="133"/>
      <c r="L1237" s="35"/>
      <c r="M1237" s="134"/>
      <c r="N1237" s="115"/>
      <c r="O1237" s="358"/>
    </row>
    <row r="1238" spans="1:15" s="369" customFormat="1" ht="11.25" x14ac:dyDescent="0.25">
      <c r="A1238" s="362"/>
      <c r="B1238" s="363"/>
      <c r="C1238" s="364"/>
      <c r="D1238" s="365" t="s">
        <v>549</v>
      </c>
      <c r="E1238" s="366" t="s">
        <v>313</v>
      </c>
      <c r="F1238" s="367">
        <v>9.5000000000000001E-2</v>
      </c>
      <c r="G1238" s="35">
        <v>31.93</v>
      </c>
      <c r="H1238" s="133">
        <f>F1238*G1238</f>
        <v>3.03335</v>
      </c>
      <c r="I1238" s="35"/>
      <c r="J1238" s="134"/>
      <c r="K1238" s="133"/>
      <c r="L1238" s="35"/>
      <c r="M1238" s="134"/>
      <c r="N1238" s="114"/>
      <c r="O1238" s="370"/>
    </row>
    <row r="1239" spans="1:15" s="379" customFormat="1" ht="11.25" x14ac:dyDescent="0.25">
      <c r="A1239" s="362"/>
      <c r="B1239" s="363"/>
      <c r="C1239" s="364"/>
      <c r="D1239" s="365" t="str">
        <f>D1235</f>
        <v>Caixa de gordura de polietileno, 250 x 172 x 50mm - uma por copa.</v>
      </c>
      <c r="E1239" s="366" t="s">
        <v>227</v>
      </c>
      <c r="F1239" s="367">
        <v>1</v>
      </c>
      <c r="G1239" s="371">
        <v>37.130000000000003</v>
      </c>
      <c r="H1239" s="133">
        <f>F1239*G1239</f>
        <v>37.130000000000003</v>
      </c>
      <c r="I1239" s="372"/>
      <c r="J1239" s="373"/>
      <c r="K1239" s="374"/>
      <c r="L1239" s="375"/>
      <c r="M1239" s="376"/>
      <c r="N1239" s="377"/>
      <c r="O1239" s="378"/>
    </row>
    <row r="1240" spans="1:15" s="25" customFormat="1" ht="14.25" x14ac:dyDescent="0.2">
      <c r="A1240" s="166"/>
      <c r="B1240" s="160"/>
      <c r="C1240" s="31"/>
      <c r="D1240" s="146" t="s">
        <v>288</v>
      </c>
      <c r="E1240" s="32"/>
      <c r="F1240" s="147"/>
      <c r="G1240" s="33"/>
      <c r="H1240" s="129"/>
      <c r="I1240" s="29"/>
      <c r="J1240" s="130"/>
      <c r="K1240" s="33"/>
      <c r="L1240" s="33"/>
      <c r="M1240" s="136"/>
      <c r="N1240" s="115"/>
      <c r="O1240" s="115"/>
    </row>
    <row r="1241" spans="1:15" s="25" customFormat="1" ht="14.25" x14ac:dyDescent="0.2">
      <c r="A1241" s="167"/>
      <c r="B1241" s="149"/>
      <c r="C1241" s="152"/>
      <c r="D1241" s="154" t="s">
        <v>518</v>
      </c>
      <c r="E1241" s="152"/>
      <c r="F1241" s="113"/>
      <c r="G1241" s="145"/>
      <c r="H1241" s="127"/>
      <c r="I1241" s="37"/>
      <c r="J1241" s="128"/>
      <c r="K1241" s="179"/>
      <c r="L1241" s="37"/>
      <c r="M1241" s="128"/>
      <c r="N1241" s="113"/>
      <c r="O1241" s="113"/>
    </row>
    <row r="1242" spans="1:15" s="25" customFormat="1" ht="14.25" x14ac:dyDescent="0.2">
      <c r="A1242" s="166"/>
      <c r="B1242" s="160"/>
      <c r="C1242" s="31"/>
      <c r="D1242" s="146" t="s">
        <v>288</v>
      </c>
      <c r="E1242" s="32"/>
      <c r="F1242" s="147"/>
      <c r="G1242" s="33"/>
      <c r="H1242" s="129"/>
      <c r="I1242" s="29"/>
      <c r="J1242" s="130"/>
      <c r="K1242" s="33"/>
      <c r="L1242" s="33"/>
      <c r="M1242" s="136"/>
      <c r="N1242" s="115"/>
      <c r="O1242" s="115"/>
    </row>
    <row r="1243" spans="1:15" s="25" customFormat="1" ht="22.5" x14ac:dyDescent="0.2">
      <c r="A1243" s="581"/>
      <c r="B1243" s="582" t="s">
        <v>280</v>
      </c>
      <c r="C1243" s="583" t="s">
        <v>970</v>
      </c>
      <c r="D1243" s="584" t="s">
        <v>738</v>
      </c>
      <c r="E1243" s="583" t="s">
        <v>281</v>
      </c>
      <c r="F1243" s="585">
        <f>'MEMÓRIA DE CÁLCULO'!AL104</f>
        <v>1</v>
      </c>
      <c r="G1243" s="586"/>
      <c r="H1243" s="587">
        <v>69</v>
      </c>
      <c r="I1243" s="588">
        <v>30</v>
      </c>
      <c r="J1243" s="589">
        <f>H1243+I1243</f>
        <v>99</v>
      </c>
      <c r="K1243" s="587">
        <f>H1243*F1243</f>
        <v>69</v>
      </c>
      <c r="L1243" s="588">
        <f>I1243*F1243</f>
        <v>30</v>
      </c>
      <c r="M1243" s="589">
        <f>K1243+L1243</f>
        <v>99</v>
      </c>
      <c r="N1243" s="585">
        <f>M1243*$N$7</f>
        <v>24.314400000000003</v>
      </c>
      <c r="O1243" s="585">
        <f>ROUND(M1243+N1243,2)</f>
        <v>123.31</v>
      </c>
    </row>
    <row r="1244" spans="1:15" s="25" customFormat="1" ht="14.25" x14ac:dyDescent="0.2">
      <c r="A1244" s="166"/>
      <c r="B1244" s="160"/>
      <c r="C1244" s="31"/>
      <c r="D1244" s="146" t="s">
        <v>288</v>
      </c>
      <c r="E1244" s="32"/>
      <c r="F1244" s="147"/>
      <c r="G1244" s="33"/>
      <c r="H1244" s="129"/>
      <c r="I1244" s="29"/>
      <c r="J1244" s="130"/>
      <c r="K1244" s="33"/>
      <c r="L1244" s="33"/>
      <c r="M1244" s="136"/>
      <c r="N1244" s="115"/>
      <c r="O1244" s="115"/>
    </row>
    <row r="1245" spans="1:15" s="25" customFormat="1" ht="14.25" x14ac:dyDescent="0.2">
      <c r="A1245" s="166"/>
      <c r="B1245" s="160"/>
      <c r="C1245" s="31"/>
      <c r="D1245" s="146" t="s">
        <v>288</v>
      </c>
      <c r="E1245" s="32"/>
      <c r="F1245" s="147"/>
      <c r="G1245" s="33"/>
      <c r="H1245" s="129"/>
      <c r="I1245" s="29"/>
      <c r="J1245" s="130"/>
      <c r="K1245" s="33"/>
      <c r="L1245" s="33"/>
      <c r="M1245" s="136"/>
      <c r="N1245" s="117"/>
      <c r="O1245" s="117"/>
    </row>
    <row r="1246" spans="1:15" s="25" customFormat="1" ht="31.5" x14ac:dyDescent="0.2">
      <c r="A1246" s="187"/>
      <c r="B1246" s="188"/>
      <c r="C1246" s="189">
        <v>15</v>
      </c>
      <c r="D1246" s="190" t="s">
        <v>66</v>
      </c>
      <c r="E1246" s="191"/>
      <c r="F1246" s="190"/>
      <c r="G1246" s="191"/>
      <c r="H1246" s="192"/>
      <c r="I1246" s="193"/>
      <c r="J1246" s="194"/>
      <c r="K1246" s="192"/>
      <c r="L1246" s="193"/>
      <c r="M1246" s="194"/>
      <c r="N1246" s="195"/>
      <c r="O1246" s="196">
        <f>SUM(O1248:O1266)</f>
        <v>10851.04</v>
      </c>
    </row>
    <row r="1247" spans="1:15" s="13" customFormat="1" ht="12.75" x14ac:dyDescent="0.25">
      <c r="A1247" s="168"/>
      <c r="B1247" s="159"/>
      <c r="C1247" s="34"/>
      <c r="D1247" s="153" t="s">
        <v>288</v>
      </c>
      <c r="E1247" s="34"/>
      <c r="F1247" s="148"/>
      <c r="G1247" s="35"/>
      <c r="H1247" s="133"/>
      <c r="I1247" s="35"/>
      <c r="J1247" s="134"/>
      <c r="K1247" s="133"/>
      <c r="L1247" s="35"/>
      <c r="M1247" s="134"/>
      <c r="N1247" s="114"/>
      <c r="O1247" s="114"/>
    </row>
    <row r="1248" spans="1:15" s="356" customFormat="1" ht="11.25" x14ac:dyDescent="0.2">
      <c r="A1248" s="402"/>
      <c r="B1248" s="403"/>
      <c r="C1248" s="404"/>
      <c r="D1248" s="405" t="s">
        <v>435</v>
      </c>
      <c r="E1248" s="406"/>
      <c r="F1248" s="407"/>
      <c r="G1248" s="408"/>
      <c r="H1248" s="409"/>
      <c r="I1248" s="410"/>
      <c r="J1248" s="411"/>
      <c r="K1248" s="409"/>
      <c r="L1248" s="410"/>
      <c r="M1248" s="411"/>
      <c r="N1248" s="412"/>
      <c r="O1248" s="412"/>
    </row>
    <row r="1249" spans="1:15" s="25" customFormat="1" ht="14.25" x14ac:dyDescent="0.2">
      <c r="A1249" s="166"/>
      <c r="B1249" s="160"/>
      <c r="C1249" s="31"/>
      <c r="D1249" s="146" t="s">
        <v>288</v>
      </c>
      <c r="E1249" s="32"/>
      <c r="F1249" s="147"/>
      <c r="G1249" s="33"/>
      <c r="H1249" s="129"/>
      <c r="I1249" s="29"/>
      <c r="J1249" s="130"/>
      <c r="K1249" s="129"/>
      <c r="L1249" s="29"/>
      <c r="M1249" s="130"/>
      <c r="N1249" s="115"/>
      <c r="O1249" s="115"/>
    </row>
    <row r="1250" spans="1:15" s="25" customFormat="1" ht="14.25" x14ac:dyDescent="0.2">
      <c r="A1250" s="167"/>
      <c r="B1250" s="149"/>
      <c r="C1250" s="152"/>
      <c r="D1250" s="154" t="s">
        <v>483</v>
      </c>
      <c r="E1250" s="152"/>
      <c r="F1250" s="113"/>
      <c r="G1250" s="145"/>
      <c r="H1250" s="127"/>
      <c r="I1250" s="37"/>
      <c r="J1250" s="128"/>
      <c r="K1250" s="127"/>
      <c r="L1250" s="37"/>
      <c r="M1250" s="128"/>
      <c r="N1250" s="113"/>
      <c r="O1250" s="113"/>
    </row>
    <row r="1251" spans="1:15" s="25" customFormat="1" ht="14.25" x14ac:dyDescent="0.2">
      <c r="A1251" s="14"/>
      <c r="B1251" s="15"/>
      <c r="C1251" s="16"/>
      <c r="D1251" s="172"/>
      <c r="E1251" s="173"/>
      <c r="F1251" s="17"/>
      <c r="G1251" s="18"/>
      <c r="H1251" s="19"/>
      <c r="I1251" s="20"/>
      <c r="J1251" s="139"/>
      <c r="K1251" s="138"/>
      <c r="L1251" s="21"/>
      <c r="M1251" s="139"/>
      <c r="N1251" s="22"/>
      <c r="O1251" s="22"/>
    </row>
    <row r="1252" spans="1:15" s="25" customFormat="1" ht="22.5" x14ac:dyDescent="0.2">
      <c r="A1252" s="581" t="s">
        <v>277</v>
      </c>
      <c r="B1252" s="582" t="s">
        <v>211</v>
      </c>
      <c r="C1252" s="583" t="s">
        <v>852</v>
      </c>
      <c r="D1252" s="584" t="s">
        <v>903</v>
      </c>
      <c r="E1252" s="583" t="s">
        <v>314</v>
      </c>
      <c r="F1252" s="585">
        <f>'MEMÓRIA DE CÁLCULO'!D272</f>
        <v>100</v>
      </c>
      <c r="G1252" s="586"/>
      <c r="H1252" s="587">
        <v>14.66</v>
      </c>
      <c r="I1252" s="588">
        <v>10.23</v>
      </c>
      <c r="J1252" s="589">
        <f>H1252+I1252</f>
        <v>24.89</v>
      </c>
      <c r="K1252" s="587">
        <f>H1252*F1252</f>
        <v>1466</v>
      </c>
      <c r="L1252" s="588">
        <f>I1252*F1252</f>
        <v>1023</v>
      </c>
      <c r="M1252" s="589">
        <f>K1252+L1252</f>
        <v>2489</v>
      </c>
      <c r="N1252" s="585">
        <f>M1252*$N$7</f>
        <v>611.29840000000002</v>
      </c>
      <c r="O1252" s="585">
        <f>ROUND(M1252+N1252,2)</f>
        <v>3100.3</v>
      </c>
    </row>
    <row r="1253" spans="1:15" s="379" customFormat="1" ht="11.25" x14ac:dyDescent="0.25">
      <c r="A1253" s="362"/>
      <c r="B1253" s="363"/>
      <c r="C1253" s="364"/>
      <c r="D1253" s="365"/>
      <c r="E1253" s="366"/>
      <c r="F1253" s="380"/>
      <c r="G1253" s="383"/>
      <c r="H1253" s="384"/>
      <c r="I1253" s="372"/>
      <c r="J1253" s="373"/>
      <c r="K1253" s="374"/>
      <c r="L1253" s="375"/>
      <c r="M1253" s="376"/>
      <c r="N1253" s="377"/>
      <c r="O1253" s="378"/>
    </row>
    <row r="1254" spans="1:15" s="356" customFormat="1" ht="11.25" x14ac:dyDescent="0.2">
      <c r="A1254" s="424"/>
      <c r="B1254" s="425"/>
      <c r="C1254" s="426"/>
      <c r="D1254" s="427" t="s">
        <v>436</v>
      </c>
      <c r="E1254" s="428"/>
      <c r="F1254" s="429"/>
      <c r="G1254" s="430"/>
      <c r="H1254" s="431"/>
      <c r="I1254" s="432"/>
      <c r="J1254" s="433"/>
      <c r="K1254" s="431"/>
      <c r="L1254" s="432"/>
      <c r="M1254" s="433"/>
      <c r="N1254" s="434"/>
      <c r="O1254" s="434"/>
    </row>
    <row r="1255" spans="1:15" s="25" customFormat="1" ht="14.25" x14ac:dyDescent="0.2">
      <c r="A1255" s="166"/>
      <c r="B1255" s="160"/>
      <c r="C1255" s="31"/>
      <c r="D1255" s="146" t="s">
        <v>288</v>
      </c>
      <c r="E1255" s="32"/>
      <c r="F1255" s="147"/>
      <c r="G1255" s="33"/>
      <c r="H1255" s="129"/>
      <c r="I1255" s="29"/>
      <c r="J1255" s="130"/>
      <c r="K1255" s="129"/>
      <c r="L1255" s="29"/>
      <c r="M1255" s="130"/>
      <c r="N1255" s="115"/>
      <c r="O1255" s="115"/>
    </row>
    <row r="1256" spans="1:15" s="25" customFormat="1" ht="14.25" x14ac:dyDescent="0.2">
      <c r="A1256" s="167"/>
      <c r="B1256" s="149"/>
      <c r="C1256" s="152"/>
      <c r="D1256" s="154" t="s">
        <v>483</v>
      </c>
      <c r="E1256" s="152"/>
      <c r="F1256" s="113"/>
      <c r="G1256" s="145"/>
      <c r="H1256" s="127"/>
      <c r="I1256" s="37"/>
      <c r="J1256" s="128"/>
      <c r="K1256" s="127"/>
      <c r="L1256" s="37"/>
      <c r="M1256" s="128"/>
      <c r="N1256" s="113"/>
      <c r="O1256" s="113"/>
    </row>
    <row r="1257" spans="1:15" s="25" customFormat="1" ht="14.25" x14ac:dyDescent="0.2">
      <c r="A1257" s="14"/>
      <c r="B1257" s="15"/>
      <c r="C1257" s="16"/>
      <c r="D1257" s="172"/>
      <c r="E1257" s="173"/>
      <c r="F1257" s="17"/>
      <c r="G1257" s="18"/>
      <c r="H1257" s="19"/>
      <c r="I1257" s="20"/>
      <c r="J1257" s="139"/>
      <c r="K1257" s="138"/>
      <c r="L1257" s="21"/>
      <c r="M1257" s="139"/>
      <c r="N1257" s="22"/>
      <c r="O1257" s="22"/>
    </row>
    <row r="1258" spans="1:15" s="25" customFormat="1" ht="22.5" x14ac:dyDescent="0.2">
      <c r="A1258" s="581" t="s">
        <v>277</v>
      </c>
      <c r="B1258" s="582" t="s">
        <v>211</v>
      </c>
      <c r="C1258" s="583" t="s">
        <v>971</v>
      </c>
      <c r="D1258" s="584" t="s">
        <v>903</v>
      </c>
      <c r="E1258" s="583" t="s">
        <v>314</v>
      </c>
      <c r="F1258" s="585">
        <f>'MEMÓRIA DE CÁLCULO'!D277</f>
        <v>125</v>
      </c>
      <c r="G1258" s="586"/>
      <c r="H1258" s="587">
        <v>14.66</v>
      </c>
      <c r="I1258" s="588">
        <v>10.23</v>
      </c>
      <c r="J1258" s="589">
        <f>H1258+I1258</f>
        <v>24.89</v>
      </c>
      <c r="K1258" s="587">
        <f>H1258*F1258</f>
        <v>1832.5</v>
      </c>
      <c r="L1258" s="588">
        <f>I1258*F1258</f>
        <v>1278.75</v>
      </c>
      <c r="M1258" s="589">
        <f>K1258+L1258</f>
        <v>3111.25</v>
      </c>
      <c r="N1258" s="585">
        <f>M1258*$N$7</f>
        <v>764.12300000000005</v>
      </c>
      <c r="O1258" s="585">
        <f>ROUND(M1258+N1258,2)</f>
        <v>3875.37</v>
      </c>
    </row>
    <row r="1259" spans="1:15" s="379" customFormat="1" ht="11.25" x14ac:dyDescent="0.25">
      <c r="A1259" s="362"/>
      <c r="B1259" s="363"/>
      <c r="C1259" s="364"/>
      <c r="D1259" s="365"/>
      <c r="E1259" s="366"/>
      <c r="F1259" s="380"/>
      <c r="G1259" s="383"/>
      <c r="H1259" s="384"/>
      <c r="I1259" s="372"/>
      <c r="J1259" s="373"/>
      <c r="K1259" s="374"/>
      <c r="L1259" s="375"/>
      <c r="M1259" s="376"/>
      <c r="N1259" s="377"/>
      <c r="O1259" s="378"/>
    </row>
    <row r="1260" spans="1:15" s="356" customFormat="1" ht="11.25" x14ac:dyDescent="0.2">
      <c r="A1260" s="413"/>
      <c r="B1260" s="414"/>
      <c r="C1260" s="415"/>
      <c r="D1260" s="416" t="s">
        <v>437</v>
      </c>
      <c r="E1260" s="417"/>
      <c r="F1260" s="418"/>
      <c r="G1260" s="419"/>
      <c r="H1260" s="420"/>
      <c r="I1260" s="421"/>
      <c r="J1260" s="422"/>
      <c r="K1260" s="420"/>
      <c r="L1260" s="421"/>
      <c r="M1260" s="422"/>
      <c r="N1260" s="423"/>
      <c r="O1260" s="423"/>
    </row>
    <row r="1261" spans="1:15" s="25" customFormat="1" ht="14.25" x14ac:dyDescent="0.2">
      <c r="A1261" s="166"/>
      <c r="B1261" s="160"/>
      <c r="C1261" s="31"/>
      <c r="D1261" s="146" t="s">
        <v>288</v>
      </c>
      <c r="E1261" s="32"/>
      <c r="F1261" s="147"/>
      <c r="G1261" s="33"/>
      <c r="H1261" s="129"/>
      <c r="I1261" s="29"/>
      <c r="J1261" s="130"/>
      <c r="K1261" s="129"/>
      <c r="L1261" s="29"/>
      <c r="M1261" s="130"/>
      <c r="N1261" s="115"/>
      <c r="O1261" s="115"/>
    </row>
    <row r="1262" spans="1:15" s="25" customFormat="1" ht="14.25" x14ac:dyDescent="0.2">
      <c r="A1262" s="167"/>
      <c r="B1262" s="149"/>
      <c r="C1262" s="152"/>
      <c r="D1262" s="154" t="s">
        <v>483</v>
      </c>
      <c r="E1262" s="152"/>
      <c r="F1262" s="113"/>
      <c r="G1262" s="145"/>
      <c r="H1262" s="127"/>
      <c r="I1262" s="37"/>
      <c r="J1262" s="128"/>
      <c r="K1262" s="127"/>
      <c r="L1262" s="37"/>
      <c r="M1262" s="128"/>
      <c r="N1262" s="113"/>
      <c r="O1262" s="113"/>
    </row>
    <row r="1263" spans="1:15" s="25" customFormat="1" ht="14.25" x14ac:dyDescent="0.2">
      <c r="A1263" s="14"/>
      <c r="B1263" s="15"/>
      <c r="C1263" s="16"/>
      <c r="D1263" s="172"/>
      <c r="E1263" s="173"/>
      <c r="F1263" s="17"/>
      <c r="G1263" s="18"/>
      <c r="H1263" s="19"/>
      <c r="I1263" s="20"/>
      <c r="J1263" s="139"/>
      <c r="K1263" s="138"/>
      <c r="L1263" s="21"/>
      <c r="M1263" s="139"/>
      <c r="N1263" s="22"/>
      <c r="O1263" s="22"/>
    </row>
    <row r="1264" spans="1:15" s="25" customFormat="1" ht="22.5" x14ac:dyDescent="0.2">
      <c r="A1264" s="581" t="s">
        <v>277</v>
      </c>
      <c r="B1264" s="582" t="s">
        <v>211</v>
      </c>
      <c r="C1264" s="583" t="s">
        <v>853</v>
      </c>
      <c r="D1264" s="584" t="s">
        <v>903</v>
      </c>
      <c r="E1264" s="583" t="s">
        <v>314</v>
      </c>
      <c r="F1264" s="585">
        <f>'MEMÓRIA DE CÁLCULO'!D282</f>
        <v>125</v>
      </c>
      <c r="G1264" s="586"/>
      <c r="H1264" s="587">
        <v>14.66</v>
      </c>
      <c r="I1264" s="588">
        <v>10.23</v>
      </c>
      <c r="J1264" s="589">
        <f>H1264+I1264</f>
        <v>24.89</v>
      </c>
      <c r="K1264" s="587">
        <f>H1264*F1264</f>
        <v>1832.5</v>
      </c>
      <c r="L1264" s="588">
        <f>I1264*F1264</f>
        <v>1278.75</v>
      </c>
      <c r="M1264" s="589">
        <f>K1264+L1264</f>
        <v>3111.25</v>
      </c>
      <c r="N1264" s="585">
        <f>M1264*$N$7</f>
        <v>764.12300000000005</v>
      </c>
      <c r="O1264" s="585">
        <f>ROUND(M1264+N1264,2)</f>
        <v>3875.37</v>
      </c>
    </row>
    <row r="1265" spans="1:15" s="379" customFormat="1" ht="11.25" x14ac:dyDescent="0.25">
      <c r="A1265" s="362"/>
      <c r="B1265" s="363"/>
      <c r="C1265" s="364"/>
      <c r="D1265" s="365"/>
      <c r="E1265" s="366"/>
      <c r="F1265" s="380"/>
      <c r="G1265" s="383"/>
      <c r="H1265" s="384"/>
      <c r="I1265" s="372"/>
      <c r="J1265" s="373"/>
      <c r="K1265" s="374"/>
      <c r="L1265" s="375"/>
      <c r="M1265" s="376"/>
      <c r="N1265" s="377"/>
      <c r="O1265" s="378"/>
    </row>
    <row r="1266" spans="1:15" s="25" customFormat="1" ht="14.25" x14ac:dyDescent="0.2">
      <c r="A1266" s="168"/>
      <c r="B1266" s="159"/>
      <c r="C1266" s="34"/>
      <c r="D1266" s="153"/>
      <c r="E1266" s="34"/>
      <c r="F1266" s="148"/>
      <c r="G1266" s="35"/>
      <c r="H1266" s="35"/>
      <c r="I1266" s="35"/>
      <c r="J1266" s="134"/>
      <c r="K1266" s="133"/>
      <c r="L1266" s="35"/>
      <c r="M1266" s="134"/>
      <c r="N1266" s="114"/>
      <c r="O1266" s="114"/>
    </row>
    <row r="1267" spans="1:15" s="25" customFormat="1" ht="31.5" x14ac:dyDescent="0.2">
      <c r="A1267" s="187"/>
      <c r="B1267" s="188"/>
      <c r="C1267" s="189">
        <v>16</v>
      </c>
      <c r="D1267" s="190" t="s">
        <v>301</v>
      </c>
      <c r="E1267" s="191"/>
      <c r="F1267" s="190"/>
      <c r="G1267" s="191"/>
      <c r="H1267" s="192"/>
      <c r="I1267" s="193"/>
      <c r="J1267" s="194"/>
      <c r="K1267" s="192"/>
      <c r="L1267" s="193"/>
      <c r="M1267" s="194"/>
      <c r="N1267" s="195"/>
      <c r="O1267" s="196">
        <f>SUM(O1269:O1275)</f>
        <v>5422.7999999999993</v>
      </c>
    </row>
    <row r="1268" spans="1:15" x14ac:dyDescent="0.25">
      <c r="A1268" s="174"/>
      <c r="B1268" s="158"/>
      <c r="C1268" s="10"/>
      <c r="D1268" s="155" t="s">
        <v>288</v>
      </c>
      <c r="E1268" s="4"/>
      <c r="F1268" s="150"/>
      <c r="G1268" s="5"/>
      <c r="H1268" s="140"/>
      <c r="I1268" s="5"/>
      <c r="J1268" s="141"/>
      <c r="K1268" s="140"/>
      <c r="L1268" s="5"/>
      <c r="M1268" s="141"/>
      <c r="N1268" s="118"/>
      <c r="O1268" s="118"/>
    </row>
    <row r="1269" spans="1:15" s="25" customFormat="1" ht="14.25" x14ac:dyDescent="0.2">
      <c r="A1269" s="581" t="s">
        <v>280</v>
      </c>
      <c r="B1269" s="582"/>
      <c r="C1269" s="583" t="s">
        <v>212</v>
      </c>
      <c r="D1269" s="584" t="s">
        <v>851</v>
      </c>
      <c r="E1269" s="583" t="s">
        <v>315</v>
      </c>
      <c r="F1269" s="585">
        <v>16</v>
      </c>
      <c r="G1269" s="586"/>
      <c r="H1269" s="588">
        <f>ROUND(SUM(H1270:H1271),2)</f>
        <v>179</v>
      </c>
      <c r="I1269" s="588">
        <f>ROUND(SUM(I1270:I1271),2)</f>
        <v>7.14</v>
      </c>
      <c r="J1269" s="589">
        <f>H1269+I1269</f>
        <v>186.14</v>
      </c>
      <c r="K1269" s="587">
        <f>H1269*F1269</f>
        <v>2864</v>
      </c>
      <c r="L1269" s="588">
        <f>I1269*F1269</f>
        <v>114.24</v>
      </c>
      <c r="M1269" s="589">
        <f>K1269+L1269</f>
        <v>2978.24</v>
      </c>
      <c r="N1269" s="585">
        <f>M1269*$N$7</f>
        <v>731.45574399999998</v>
      </c>
      <c r="O1269" s="585">
        <f>ROUND(M1269+N1269,2)</f>
        <v>3709.7</v>
      </c>
    </row>
    <row r="1270" spans="1:15" s="369" customFormat="1" ht="11.25" x14ac:dyDescent="0.25">
      <c r="A1270" s="362"/>
      <c r="B1270" s="363"/>
      <c r="C1270" s="364"/>
      <c r="D1270" s="365" t="s">
        <v>250</v>
      </c>
      <c r="E1270" s="366" t="s">
        <v>229</v>
      </c>
      <c r="F1270" s="367">
        <v>0.8</v>
      </c>
      <c r="G1270" s="35">
        <v>8.92</v>
      </c>
      <c r="H1270" s="133"/>
      <c r="I1270" s="35">
        <f>F1270*G1270</f>
        <v>7.1360000000000001</v>
      </c>
      <c r="J1270" s="134"/>
      <c r="K1270" s="133"/>
      <c r="L1270" s="35"/>
      <c r="M1270" s="134"/>
      <c r="N1270" s="117"/>
      <c r="O1270" s="368"/>
    </row>
    <row r="1271" spans="1:15" s="369" customFormat="1" ht="11.25" x14ac:dyDescent="0.25">
      <c r="A1271" s="362"/>
      <c r="B1271" s="363"/>
      <c r="C1271" s="364"/>
      <c r="D1271" s="365" t="str">
        <f>D1269</f>
        <v>EXTINTOR DE PÓ CLASSE ABC - 6kg - fornecimento e instalação.</v>
      </c>
      <c r="E1271" s="366" t="s">
        <v>315</v>
      </c>
      <c r="F1271" s="367"/>
      <c r="G1271" s="35"/>
      <c r="H1271" s="133">
        <v>179</v>
      </c>
      <c r="I1271" s="35" t="s">
        <v>312</v>
      </c>
      <c r="J1271" s="134"/>
      <c r="K1271" s="133"/>
      <c r="L1271" s="35"/>
      <c r="M1271" s="134"/>
      <c r="N1271" s="117"/>
      <c r="O1271" s="368"/>
    </row>
    <row r="1272" spans="1:15" x14ac:dyDescent="0.25">
      <c r="A1272" s="174"/>
      <c r="B1272" s="158"/>
      <c r="C1272" s="10"/>
      <c r="D1272" s="155" t="s">
        <v>288</v>
      </c>
      <c r="E1272" s="4"/>
      <c r="F1272" s="150"/>
      <c r="G1272" s="5"/>
      <c r="H1272" s="140"/>
      <c r="I1272" s="5"/>
      <c r="J1272" s="141"/>
      <c r="K1272" s="140"/>
      <c r="L1272" s="5"/>
      <c r="M1272" s="141"/>
      <c r="N1272" s="118"/>
      <c r="O1272" s="118"/>
    </row>
    <row r="1273" spans="1:15" s="25" customFormat="1" ht="22.5" x14ac:dyDescent="0.2">
      <c r="A1273" s="581" t="s">
        <v>277</v>
      </c>
      <c r="B1273" s="582" t="s">
        <v>57</v>
      </c>
      <c r="C1273" s="583" t="s">
        <v>972</v>
      </c>
      <c r="D1273" s="584" t="s">
        <v>59</v>
      </c>
      <c r="E1273" s="583" t="s">
        <v>227</v>
      </c>
      <c r="F1273" s="585">
        <v>3</v>
      </c>
      <c r="G1273" s="586"/>
      <c r="H1273" s="587">
        <v>271.39999999999998</v>
      </c>
      <c r="I1273" s="588">
        <f>93.52*2</f>
        <v>187.04</v>
      </c>
      <c r="J1273" s="589">
        <f>H1273+I1273</f>
        <v>458.43999999999994</v>
      </c>
      <c r="K1273" s="587">
        <f>H1273*F1273</f>
        <v>814.19999999999993</v>
      </c>
      <c r="L1273" s="588">
        <f>I1273*F1273</f>
        <v>561.12</v>
      </c>
      <c r="M1273" s="589">
        <f>K1273+L1273</f>
        <v>1375.32</v>
      </c>
      <c r="N1273" s="585">
        <f>M1273*$N$7</f>
        <v>337.778592</v>
      </c>
      <c r="O1273" s="585">
        <f>ROUND(M1273+N1273,2)</f>
        <v>1713.1</v>
      </c>
    </row>
    <row r="1274" spans="1:15" s="379" customFormat="1" ht="45" x14ac:dyDescent="0.25">
      <c r="A1274" s="362"/>
      <c r="B1274" s="363" t="s">
        <v>58</v>
      </c>
      <c r="C1274" s="364"/>
      <c r="D1274" s="365"/>
      <c r="E1274" s="366"/>
      <c r="F1274" s="380"/>
      <c r="G1274" s="383"/>
      <c r="H1274" s="384"/>
      <c r="I1274" s="372"/>
      <c r="J1274" s="373"/>
      <c r="K1274" s="374"/>
      <c r="L1274" s="375"/>
      <c r="M1274" s="376"/>
      <c r="N1274" s="377"/>
      <c r="O1274" s="378"/>
    </row>
    <row r="1275" spans="1:15" s="25" customFormat="1" ht="14.25" x14ac:dyDescent="0.2">
      <c r="A1275" s="174"/>
      <c r="B1275" s="158"/>
      <c r="C1275" s="10"/>
      <c r="D1275" s="155"/>
      <c r="E1275" s="4"/>
      <c r="F1275" s="150"/>
      <c r="G1275" s="5"/>
      <c r="H1275" s="140"/>
      <c r="I1275" s="5"/>
      <c r="J1275" s="141"/>
      <c r="K1275" s="140"/>
      <c r="L1275" s="5"/>
      <c r="M1275" s="141"/>
      <c r="N1275" s="119"/>
      <c r="O1275" s="119"/>
    </row>
    <row r="1276" spans="1:15" s="25" customFormat="1" ht="15.75" x14ac:dyDescent="0.2">
      <c r="A1276" s="187"/>
      <c r="B1276" s="188"/>
      <c r="C1276" s="189">
        <v>17</v>
      </c>
      <c r="D1276" s="190" t="s">
        <v>290</v>
      </c>
      <c r="E1276" s="191"/>
      <c r="F1276" s="190"/>
      <c r="G1276" s="191"/>
      <c r="H1276" s="192"/>
      <c r="I1276" s="193"/>
      <c r="J1276" s="194"/>
      <c r="K1276" s="192"/>
      <c r="L1276" s="193"/>
      <c r="M1276" s="194"/>
      <c r="N1276" s="195"/>
      <c r="O1276" s="196">
        <f>SUM(O1280:O1351)</f>
        <v>126507.97999999998</v>
      </c>
    </row>
    <row r="1277" spans="1:15" x14ac:dyDescent="0.25">
      <c r="A1277" s="174"/>
      <c r="B1277" s="158"/>
      <c r="C1277" s="10"/>
      <c r="D1277" s="155" t="s">
        <v>288</v>
      </c>
      <c r="E1277" s="4"/>
      <c r="F1277" s="150"/>
      <c r="G1277" s="5"/>
      <c r="H1277" s="140"/>
      <c r="I1277" s="5"/>
      <c r="J1277" s="141"/>
      <c r="K1277" s="140"/>
      <c r="L1277" s="5"/>
      <c r="M1277" s="141"/>
      <c r="N1277" s="118"/>
      <c r="O1277" s="118"/>
    </row>
    <row r="1278" spans="1:15" s="25" customFormat="1" ht="14.25" x14ac:dyDescent="0.2">
      <c r="A1278" s="167"/>
      <c r="B1278" s="149"/>
      <c r="C1278" s="152"/>
      <c r="D1278" s="154" t="s">
        <v>175</v>
      </c>
      <c r="E1278" s="152"/>
      <c r="F1278" s="113"/>
      <c r="G1278" s="145"/>
      <c r="H1278" s="127"/>
      <c r="I1278" s="37"/>
      <c r="J1278" s="128"/>
      <c r="K1278" s="127"/>
      <c r="L1278" s="37"/>
      <c r="M1278" s="128"/>
      <c r="N1278" s="113"/>
      <c r="O1278" s="113"/>
    </row>
    <row r="1279" spans="1:15" x14ac:dyDescent="0.25">
      <c r="A1279" s="174"/>
      <c r="B1279" s="158"/>
      <c r="C1279" s="10"/>
      <c r="D1279" s="155" t="s">
        <v>288</v>
      </c>
      <c r="E1279" s="4"/>
      <c r="F1279" s="150"/>
      <c r="G1279" s="5"/>
      <c r="H1279" s="140"/>
      <c r="I1279" s="5"/>
      <c r="J1279" s="141"/>
      <c r="K1279" s="140"/>
      <c r="L1279" s="5"/>
      <c r="M1279" s="141"/>
      <c r="N1279" s="119"/>
      <c r="O1279" s="119"/>
    </row>
    <row r="1280" spans="1:15" s="25" customFormat="1" ht="14.25" x14ac:dyDescent="0.2">
      <c r="A1280" s="581" t="s">
        <v>277</v>
      </c>
      <c r="B1280" s="582">
        <v>88489</v>
      </c>
      <c r="C1280" s="583" t="s">
        <v>174</v>
      </c>
      <c r="D1280" s="584" t="s">
        <v>772</v>
      </c>
      <c r="E1280" s="583" t="s">
        <v>310</v>
      </c>
      <c r="F1280" s="585">
        <f>'MEMÓRIA DE CÁLCULO'!D118</f>
        <v>272.25</v>
      </c>
      <c r="G1280" s="586"/>
      <c r="H1280" s="587">
        <v>7.18</v>
      </c>
      <c r="I1280" s="588">
        <v>2.7</v>
      </c>
      <c r="J1280" s="589">
        <f>H1280+I1280</f>
        <v>9.879999999999999</v>
      </c>
      <c r="K1280" s="587">
        <f>H1280*F1280</f>
        <v>1954.7549999999999</v>
      </c>
      <c r="L1280" s="588">
        <f>I1280*F1280</f>
        <v>735.07500000000005</v>
      </c>
      <c r="M1280" s="589">
        <f>K1280+L1280</f>
        <v>2689.83</v>
      </c>
      <c r="N1280" s="585">
        <f>M1280*$N$7</f>
        <v>660.62224800000001</v>
      </c>
      <c r="O1280" s="585">
        <f>ROUND(M1280+N1280,2)</f>
        <v>3350.45</v>
      </c>
    </row>
    <row r="1281" spans="1:15" s="25" customFormat="1" ht="14.25" x14ac:dyDescent="0.2">
      <c r="A1281" s="166"/>
      <c r="B1281" s="160"/>
      <c r="C1281" s="31"/>
      <c r="D1281" s="146" t="s">
        <v>288</v>
      </c>
      <c r="E1281" s="32"/>
      <c r="F1281" s="147"/>
      <c r="G1281" s="33"/>
      <c r="H1281" s="129"/>
      <c r="I1281" s="29"/>
      <c r="J1281" s="130"/>
      <c r="K1281" s="129"/>
      <c r="L1281" s="29"/>
      <c r="M1281" s="130"/>
      <c r="N1281" s="117"/>
      <c r="O1281" s="117"/>
    </row>
    <row r="1282" spans="1:15" s="25" customFormat="1" ht="14.25" x14ac:dyDescent="0.2">
      <c r="A1282" s="167"/>
      <c r="B1282" s="149"/>
      <c r="C1282" s="152"/>
      <c r="D1282" s="154" t="s">
        <v>488</v>
      </c>
      <c r="E1282" s="152"/>
      <c r="F1282" s="113"/>
      <c r="G1282" s="145"/>
      <c r="H1282" s="127"/>
      <c r="I1282" s="37"/>
      <c r="J1282" s="128"/>
      <c r="K1282" s="127"/>
      <c r="L1282" s="37"/>
      <c r="M1282" s="128"/>
      <c r="N1282" s="113"/>
      <c r="O1282" s="113"/>
    </row>
    <row r="1283" spans="1:15" x14ac:dyDescent="0.25">
      <c r="A1283" s="174"/>
      <c r="B1283" s="158"/>
      <c r="C1283" s="10"/>
      <c r="D1283" s="155" t="s">
        <v>288</v>
      </c>
      <c r="E1283" s="4"/>
      <c r="F1283" s="150"/>
      <c r="G1283" s="5"/>
      <c r="H1283" s="140"/>
      <c r="I1283" s="5"/>
      <c r="J1283" s="141"/>
      <c r="K1283" s="140"/>
      <c r="L1283" s="5"/>
      <c r="M1283" s="141"/>
      <c r="N1283" s="119"/>
      <c r="O1283" s="119"/>
    </row>
    <row r="1284" spans="1:15" s="356" customFormat="1" ht="11.25" x14ac:dyDescent="0.2">
      <c r="A1284" s="402"/>
      <c r="B1284" s="403"/>
      <c r="C1284" s="404"/>
      <c r="D1284" s="405" t="s">
        <v>456</v>
      </c>
      <c r="E1284" s="406"/>
      <c r="F1284" s="407"/>
      <c r="G1284" s="408"/>
      <c r="H1284" s="409"/>
      <c r="I1284" s="410"/>
      <c r="J1284" s="411"/>
      <c r="K1284" s="409"/>
      <c r="L1284" s="410"/>
      <c r="M1284" s="411"/>
      <c r="N1284" s="412"/>
      <c r="O1284" s="412"/>
    </row>
    <row r="1285" spans="1:15" s="25" customFormat="1" ht="14.25" x14ac:dyDescent="0.2">
      <c r="A1285" s="166"/>
      <c r="B1285" s="160"/>
      <c r="C1285" s="31"/>
      <c r="D1285" s="146" t="s">
        <v>288</v>
      </c>
      <c r="E1285" s="32"/>
      <c r="F1285" s="147"/>
      <c r="G1285" s="33"/>
      <c r="H1285" s="129"/>
      <c r="I1285" s="29"/>
      <c r="J1285" s="130"/>
      <c r="K1285" s="129"/>
      <c r="L1285" s="29"/>
      <c r="M1285" s="130"/>
      <c r="N1285" s="115"/>
      <c r="O1285" s="115"/>
    </row>
    <row r="1286" spans="1:15" s="25" customFormat="1" ht="14.25" x14ac:dyDescent="0.2">
      <c r="A1286" s="581" t="s">
        <v>277</v>
      </c>
      <c r="B1286" s="582">
        <v>88495</v>
      </c>
      <c r="C1286" s="583" t="s">
        <v>854</v>
      </c>
      <c r="D1286" s="584" t="s">
        <v>773</v>
      </c>
      <c r="E1286" s="583" t="s">
        <v>310</v>
      </c>
      <c r="F1286" s="585">
        <f>'MEMÓRIA DE CÁLCULO'!M31</f>
        <v>596.17999999999995</v>
      </c>
      <c r="G1286" s="586"/>
      <c r="H1286" s="587">
        <v>4.42</v>
      </c>
      <c r="I1286" s="588">
        <v>3.78</v>
      </c>
      <c r="J1286" s="589">
        <f>H1286+I1286</f>
        <v>8.1999999999999993</v>
      </c>
      <c r="K1286" s="587">
        <f>H1286*F1286</f>
        <v>2635.1155999999996</v>
      </c>
      <c r="L1286" s="588">
        <f>I1286*F1286</f>
        <v>2253.5603999999998</v>
      </c>
      <c r="M1286" s="589">
        <f>K1286+L1286</f>
        <v>4888.6759999999995</v>
      </c>
      <c r="N1286" s="585">
        <f>M1286*$N$7</f>
        <v>1200.6588256</v>
      </c>
      <c r="O1286" s="585">
        <f>ROUND(M1286+N1286,2)</f>
        <v>6089.33</v>
      </c>
    </row>
    <row r="1287" spans="1:15" s="25" customFormat="1" ht="14.25" x14ac:dyDescent="0.2">
      <c r="A1287" s="174"/>
      <c r="B1287" s="158"/>
      <c r="C1287" s="10"/>
      <c r="D1287" s="155" t="s">
        <v>288</v>
      </c>
      <c r="E1287" s="4"/>
      <c r="F1287" s="150"/>
      <c r="G1287" s="5"/>
      <c r="H1287" s="140"/>
      <c r="I1287" s="5"/>
      <c r="J1287" s="141"/>
      <c r="K1287" s="140"/>
      <c r="L1287" s="5"/>
      <c r="M1287" s="141"/>
      <c r="N1287" s="118"/>
      <c r="O1287" s="118"/>
    </row>
    <row r="1288" spans="1:15" s="25" customFormat="1" ht="14.25" x14ac:dyDescent="0.2">
      <c r="A1288" s="581" t="s">
        <v>277</v>
      </c>
      <c r="B1288" s="582">
        <v>88489</v>
      </c>
      <c r="C1288" s="583" t="s">
        <v>855</v>
      </c>
      <c r="D1288" s="584" t="s">
        <v>774</v>
      </c>
      <c r="E1288" s="583" t="s">
        <v>310</v>
      </c>
      <c r="F1288" s="585">
        <f>'MEMÓRIA DE CÁLCULO'!L31</f>
        <v>596.17999999999995</v>
      </c>
      <c r="G1288" s="586"/>
      <c r="H1288" s="587">
        <v>7.18</v>
      </c>
      <c r="I1288" s="588">
        <v>2.7</v>
      </c>
      <c r="J1288" s="589">
        <f>H1288+I1288</f>
        <v>9.879999999999999</v>
      </c>
      <c r="K1288" s="587">
        <f>H1288*F1288</f>
        <v>4280.5723999999991</v>
      </c>
      <c r="L1288" s="588">
        <f>I1288*F1288</f>
        <v>1609.6859999999999</v>
      </c>
      <c r="M1288" s="589">
        <f>K1288+L1288</f>
        <v>5890.2583999999988</v>
      </c>
      <c r="N1288" s="585">
        <f>M1288*$N$7</f>
        <v>1446.6474630399998</v>
      </c>
      <c r="O1288" s="585">
        <f>ROUND(M1288+N1288,2)</f>
        <v>7336.91</v>
      </c>
    </row>
    <row r="1289" spans="1:15" x14ac:dyDescent="0.25">
      <c r="A1289" s="174"/>
      <c r="B1289" s="158"/>
      <c r="C1289" s="10"/>
      <c r="D1289" s="155" t="s">
        <v>288</v>
      </c>
      <c r="E1289" s="4"/>
      <c r="F1289" s="150"/>
      <c r="G1289" s="5"/>
      <c r="H1289" s="140"/>
      <c r="I1289" s="5"/>
      <c r="J1289" s="141"/>
      <c r="K1289" s="140"/>
      <c r="L1289" s="5"/>
      <c r="M1289" s="141"/>
      <c r="N1289" s="118"/>
      <c r="O1289" s="118"/>
    </row>
    <row r="1290" spans="1:15" s="25" customFormat="1" ht="14.25" x14ac:dyDescent="0.2">
      <c r="A1290" s="581" t="s">
        <v>277</v>
      </c>
      <c r="B1290" s="582">
        <v>88489</v>
      </c>
      <c r="C1290" s="583" t="s">
        <v>856</v>
      </c>
      <c r="D1290" s="584" t="s">
        <v>775</v>
      </c>
      <c r="E1290" s="583" t="s">
        <v>310</v>
      </c>
      <c r="F1290" s="585">
        <f>'MEMÓRIA DE CÁLCULO'!I31</f>
        <v>554</v>
      </c>
      <c r="G1290" s="586"/>
      <c r="H1290" s="587">
        <v>7.18</v>
      </c>
      <c r="I1290" s="588">
        <v>2.7</v>
      </c>
      <c r="J1290" s="589">
        <f>H1290+I1290</f>
        <v>9.879999999999999</v>
      </c>
      <c r="K1290" s="587">
        <f>H1290*F1290</f>
        <v>3977.72</v>
      </c>
      <c r="L1290" s="588">
        <f>I1290*F1290</f>
        <v>1495.8000000000002</v>
      </c>
      <c r="M1290" s="589">
        <f>K1290+L1290</f>
        <v>5473.52</v>
      </c>
      <c r="N1290" s="585">
        <f>M1290*$N$7</f>
        <v>1344.2965120000001</v>
      </c>
      <c r="O1290" s="585">
        <f>ROUND(M1290+N1290,2)</f>
        <v>6817.82</v>
      </c>
    </row>
    <row r="1291" spans="1:15" x14ac:dyDescent="0.25">
      <c r="A1291" s="174"/>
      <c r="B1291" s="158"/>
      <c r="C1291" s="10"/>
      <c r="D1291" s="155" t="s">
        <v>288</v>
      </c>
      <c r="E1291" s="4"/>
      <c r="F1291" s="150"/>
      <c r="G1291" s="5"/>
      <c r="H1291" s="140"/>
      <c r="I1291" s="5"/>
      <c r="J1291" s="141"/>
      <c r="K1291" s="140"/>
      <c r="L1291" s="5"/>
      <c r="M1291" s="141"/>
      <c r="N1291" s="118"/>
      <c r="O1291" s="118"/>
    </row>
    <row r="1292" spans="1:15" s="25" customFormat="1" ht="22.5" x14ac:dyDescent="0.2">
      <c r="A1292" s="581" t="s">
        <v>277</v>
      </c>
      <c r="B1292" s="582" t="s">
        <v>337</v>
      </c>
      <c r="C1292" s="583" t="s">
        <v>857</v>
      </c>
      <c r="D1292" s="584" t="s">
        <v>776</v>
      </c>
      <c r="E1292" s="583" t="s">
        <v>310</v>
      </c>
      <c r="F1292" s="585">
        <f>'MEMÓRIA DE CÁLCULO'!I133</f>
        <v>28.35</v>
      </c>
      <c r="G1292" s="586"/>
      <c r="H1292" s="587">
        <v>7.16</v>
      </c>
      <c r="I1292" s="588">
        <v>6.62</v>
      </c>
      <c r="J1292" s="589">
        <f>H1292+I1292</f>
        <v>13.780000000000001</v>
      </c>
      <c r="K1292" s="587">
        <f>H1292*F1292</f>
        <v>202.98600000000002</v>
      </c>
      <c r="L1292" s="588">
        <f>I1292*F1292</f>
        <v>187.67700000000002</v>
      </c>
      <c r="M1292" s="589">
        <f>K1292+L1292</f>
        <v>390.66300000000001</v>
      </c>
      <c r="N1292" s="585">
        <f>M1292*$N$7</f>
        <v>95.94683280000001</v>
      </c>
      <c r="O1292" s="585">
        <f>ROUND(M1292+N1292,2)</f>
        <v>486.61</v>
      </c>
    </row>
    <row r="1293" spans="1:15" x14ac:dyDescent="0.25">
      <c r="A1293" s="174"/>
      <c r="B1293" s="158"/>
      <c r="C1293" s="10"/>
      <c r="D1293" s="155" t="s">
        <v>288</v>
      </c>
      <c r="E1293" s="4"/>
      <c r="F1293" s="150"/>
      <c r="G1293" s="5"/>
      <c r="H1293" s="140"/>
      <c r="I1293" s="5"/>
      <c r="J1293" s="141"/>
      <c r="K1293" s="140"/>
      <c r="L1293" s="5"/>
      <c r="M1293" s="141"/>
      <c r="N1293" s="118"/>
      <c r="O1293" s="118"/>
    </row>
    <row r="1294" spans="1:15" s="356" customFormat="1" ht="11.25" x14ac:dyDescent="0.2">
      <c r="A1294" s="402"/>
      <c r="B1294" s="403"/>
      <c r="C1294" s="404"/>
      <c r="D1294" s="405" t="s">
        <v>435</v>
      </c>
      <c r="E1294" s="406"/>
      <c r="F1294" s="407"/>
      <c r="G1294" s="408"/>
      <c r="H1294" s="409"/>
      <c r="I1294" s="410"/>
      <c r="J1294" s="411"/>
      <c r="K1294" s="409"/>
      <c r="L1294" s="410"/>
      <c r="M1294" s="411"/>
      <c r="N1294" s="412"/>
      <c r="O1294" s="412"/>
    </row>
    <row r="1295" spans="1:15" s="25" customFormat="1" ht="14.25" x14ac:dyDescent="0.2">
      <c r="A1295" s="166"/>
      <c r="B1295" s="160"/>
      <c r="C1295" s="31"/>
      <c r="D1295" s="146" t="s">
        <v>288</v>
      </c>
      <c r="E1295" s="32"/>
      <c r="F1295" s="147"/>
      <c r="G1295" s="33"/>
      <c r="H1295" s="129"/>
      <c r="I1295" s="29"/>
      <c r="J1295" s="130"/>
      <c r="K1295" s="129"/>
      <c r="L1295" s="29"/>
      <c r="M1295" s="130"/>
      <c r="N1295" s="115"/>
      <c r="O1295" s="115"/>
    </row>
    <row r="1296" spans="1:15" s="25" customFormat="1" ht="14.25" x14ac:dyDescent="0.2">
      <c r="A1296" s="581" t="s">
        <v>277</v>
      </c>
      <c r="B1296" s="582">
        <v>88495</v>
      </c>
      <c r="C1296" s="583" t="s">
        <v>858</v>
      </c>
      <c r="D1296" s="584" t="s">
        <v>773</v>
      </c>
      <c r="E1296" s="583" t="s">
        <v>310</v>
      </c>
      <c r="F1296" s="585">
        <f>'MEMÓRIA DE CÁLCULO'!M59</f>
        <v>1204.4499999999998</v>
      </c>
      <c r="G1296" s="586"/>
      <c r="H1296" s="587">
        <v>4.42</v>
      </c>
      <c r="I1296" s="588">
        <v>3.78</v>
      </c>
      <c r="J1296" s="589">
        <f>H1296+I1296</f>
        <v>8.1999999999999993</v>
      </c>
      <c r="K1296" s="587">
        <f>H1296*F1296</f>
        <v>5323.668999999999</v>
      </c>
      <c r="L1296" s="588">
        <f>I1296*F1296</f>
        <v>4552.820999999999</v>
      </c>
      <c r="M1296" s="589">
        <f>K1296+L1296</f>
        <v>9876.489999999998</v>
      </c>
      <c r="N1296" s="585">
        <f>M1296*$N$7</f>
        <v>2425.6659439999994</v>
      </c>
      <c r="O1296" s="585">
        <f>ROUND(M1296+N1296,2)</f>
        <v>12302.16</v>
      </c>
    </row>
    <row r="1297" spans="1:15" s="25" customFormat="1" ht="14.25" x14ac:dyDescent="0.2">
      <c r="A1297" s="174"/>
      <c r="B1297" s="158"/>
      <c r="C1297" s="10"/>
      <c r="D1297" s="155" t="s">
        <v>288</v>
      </c>
      <c r="E1297" s="4"/>
      <c r="F1297" s="150"/>
      <c r="G1297" s="5"/>
      <c r="H1297" s="140"/>
      <c r="I1297" s="5"/>
      <c r="J1297" s="141"/>
      <c r="K1297" s="140"/>
      <c r="L1297" s="5"/>
      <c r="M1297" s="141"/>
      <c r="N1297" s="118"/>
      <c r="O1297" s="118"/>
    </row>
    <row r="1298" spans="1:15" s="25" customFormat="1" ht="14.25" x14ac:dyDescent="0.2">
      <c r="A1298" s="581" t="s">
        <v>277</v>
      </c>
      <c r="B1298" s="582">
        <v>88489</v>
      </c>
      <c r="C1298" s="583" t="s">
        <v>859</v>
      </c>
      <c r="D1298" s="584" t="s">
        <v>774</v>
      </c>
      <c r="E1298" s="583" t="s">
        <v>310</v>
      </c>
      <c r="F1298" s="585">
        <f>'MEMÓRIA DE CÁLCULO'!L59</f>
        <v>1193.4499999999998</v>
      </c>
      <c r="G1298" s="586"/>
      <c r="H1298" s="587">
        <v>7.18</v>
      </c>
      <c r="I1298" s="588">
        <v>2.7</v>
      </c>
      <c r="J1298" s="589">
        <f>H1298+I1298</f>
        <v>9.879999999999999</v>
      </c>
      <c r="K1298" s="587">
        <f>H1298*F1298</f>
        <v>8568.9709999999977</v>
      </c>
      <c r="L1298" s="588">
        <f>I1298*F1298</f>
        <v>3222.3149999999996</v>
      </c>
      <c r="M1298" s="589">
        <f>K1298+L1298</f>
        <v>11791.285999999996</v>
      </c>
      <c r="N1298" s="585">
        <f>M1298*$N$7</f>
        <v>2895.9398415999995</v>
      </c>
      <c r="O1298" s="585">
        <f>ROUND(M1298+N1298,2)</f>
        <v>14687.23</v>
      </c>
    </row>
    <row r="1299" spans="1:15" x14ac:dyDescent="0.25">
      <c r="A1299" s="174"/>
      <c r="B1299" s="158"/>
      <c r="C1299" s="10"/>
      <c r="D1299" s="155" t="s">
        <v>288</v>
      </c>
      <c r="E1299" s="4"/>
      <c r="F1299" s="150"/>
      <c r="G1299" s="5"/>
      <c r="H1299" s="140"/>
      <c r="I1299" s="5"/>
      <c r="J1299" s="141"/>
      <c r="K1299" s="140"/>
      <c r="L1299" s="5"/>
      <c r="M1299" s="141"/>
      <c r="N1299" s="118"/>
      <c r="O1299" s="118"/>
    </row>
    <row r="1300" spans="1:15" s="25" customFormat="1" ht="14.25" x14ac:dyDescent="0.2">
      <c r="A1300" s="581" t="s">
        <v>277</v>
      </c>
      <c r="B1300" s="582">
        <v>88489</v>
      </c>
      <c r="C1300" s="583" t="s">
        <v>860</v>
      </c>
      <c r="D1300" s="584" t="s">
        <v>775</v>
      </c>
      <c r="E1300" s="583" t="s">
        <v>310</v>
      </c>
      <c r="F1300" s="585">
        <f>'MEMÓRIA DE CÁLCULO'!I59</f>
        <v>11</v>
      </c>
      <c r="G1300" s="586"/>
      <c r="H1300" s="587">
        <v>7.18</v>
      </c>
      <c r="I1300" s="588">
        <v>2.7</v>
      </c>
      <c r="J1300" s="589">
        <f>H1300+I1300</f>
        <v>9.879999999999999</v>
      </c>
      <c r="K1300" s="587">
        <f>H1300*F1300</f>
        <v>78.97999999999999</v>
      </c>
      <c r="L1300" s="588">
        <f>I1300*F1300</f>
        <v>29.700000000000003</v>
      </c>
      <c r="M1300" s="589">
        <f>K1300+L1300</f>
        <v>108.67999999999999</v>
      </c>
      <c r="N1300" s="585">
        <f>M1300*$N$7</f>
        <v>26.691807999999998</v>
      </c>
      <c r="O1300" s="585">
        <f>ROUND(M1300+N1300,2)</f>
        <v>135.37</v>
      </c>
    </row>
    <row r="1301" spans="1:15" x14ac:dyDescent="0.25">
      <c r="A1301" s="174"/>
      <c r="B1301" s="158"/>
      <c r="C1301" s="10"/>
      <c r="D1301" s="155" t="s">
        <v>288</v>
      </c>
      <c r="E1301" s="4"/>
      <c r="F1301" s="150"/>
      <c r="G1301" s="5"/>
      <c r="H1301" s="140"/>
      <c r="I1301" s="5"/>
      <c r="J1301" s="141"/>
      <c r="K1301" s="140"/>
      <c r="L1301" s="5"/>
      <c r="M1301" s="141"/>
      <c r="N1301" s="118"/>
      <c r="O1301" s="118"/>
    </row>
    <row r="1302" spans="1:15" s="25" customFormat="1" ht="22.5" x14ac:dyDescent="0.2">
      <c r="A1302" s="581" t="s">
        <v>277</v>
      </c>
      <c r="B1302" s="582" t="s">
        <v>337</v>
      </c>
      <c r="C1302" s="583" t="s">
        <v>861</v>
      </c>
      <c r="D1302" s="584" t="s">
        <v>776</v>
      </c>
      <c r="E1302" s="583" t="s">
        <v>310</v>
      </c>
      <c r="F1302" s="585">
        <f>'MEMÓRIA DE CÁLCULO'!I151</f>
        <v>120.33000000000001</v>
      </c>
      <c r="G1302" s="586"/>
      <c r="H1302" s="587">
        <v>7.16</v>
      </c>
      <c r="I1302" s="588">
        <v>6.62</v>
      </c>
      <c r="J1302" s="589">
        <f>H1302+I1302</f>
        <v>13.780000000000001</v>
      </c>
      <c r="K1302" s="587">
        <f>H1302*F1302</f>
        <v>861.56280000000015</v>
      </c>
      <c r="L1302" s="588">
        <f>I1302*F1302</f>
        <v>796.58460000000014</v>
      </c>
      <c r="M1302" s="589">
        <f>K1302+L1302</f>
        <v>1658.1474000000003</v>
      </c>
      <c r="N1302" s="585">
        <f>M1302*$N$7</f>
        <v>407.2410014400001</v>
      </c>
      <c r="O1302" s="585">
        <f>ROUND(M1302+N1302,2)</f>
        <v>2065.39</v>
      </c>
    </row>
    <row r="1303" spans="1:15" x14ac:dyDescent="0.25">
      <c r="A1303" s="174"/>
      <c r="B1303" s="158"/>
      <c r="C1303" s="10"/>
      <c r="D1303" s="155" t="s">
        <v>288</v>
      </c>
      <c r="E1303" s="4"/>
      <c r="F1303" s="150"/>
      <c r="G1303" s="5"/>
      <c r="H1303" s="140"/>
      <c r="I1303" s="5"/>
      <c r="J1303" s="141"/>
      <c r="K1303" s="140"/>
      <c r="L1303" s="5"/>
      <c r="M1303" s="141"/>
      <c r="N1303" s="118"/>
      <c r="O1303" s="118"/>
    </row>
    <row r="1304" spans="1:15" s="25" customFormat="1" ht="33.75" x14ac:dyDescent="0.2">
      <c r="A1304" s="581" t="s">
        <v>277</v>
      </c>
      <c r="B1304" s="582" t="s">
        <v>337</v>
      </c>
      <c r="C1304" s="583" t="s">
        <v>862</v>
      </c>
      <c r="D1304" s="584" t="s">
        <v>1038</v>
      </c>
      <c r="E1304" s="583" t="s">
        <v>310</v>
      </c>
      <c r="F1304" s="585">
        <f>(6*1*2.1*3)+(3*(13+10+10))</f>
        <v>136.80000000000001</v>
      </c>
      <c r="G1304" s="586"/>
      <c r="H1304" s="587">
        <v>7.16</v>
      </c>
      <c r="I1304" s="588">
        <v>6.62</v>
      </c>
      <c r="J1304" s="589">
        <f>H1304+I1304</f>
        <v>13.780000000000001</v>
      </c>
      <c r="K1304" s="587">
        <f>H1304*F1304</f>
        <v>979.48800000000006</v>
      </c>
      <c r="L1304" s="588">
        <f>I1304*F1304</f>
        <v>905.6160000000001</v>
      </c>
      <c r="M1304" s="589">
        <f>K1304+L1304</f>
        <v>1885.1040000000003</v>
      </c>
      <c r="N1304" s="585">
        <f>M1304*$N$7</f>
        <v>462.98154240000008</v>
      </c>
      <c r="O1304" s="585">
        <f>ROUND(M1304+N1304,2)</f>
        <v>2348.09</v>
      </c>
    </row>
    <row r="1305" spans="1:15" x14ac:dyDescent="0.25">
      <c r="A1305" s="174"/>
      <c r="B1305" s="158"/>
      <c r="C1305" s="10"/>
      <c r="D1305" s="155" t="s">
        <v>288</v>
      </c>
      <c r="E1305" s="4"/>
      <c r="F1305" s="150"/>
      <c r="G1305" s="5"/>
      <c r="H1305" s="140"/>
      <c r="I1305" s="5"/>
      <c r="J1305" s="141"/>
      <c r="K1305" s="140"/>
      <c r="L1305" s="5"/>
      <c r="M1305" s="141"/>
      <c r="N1305" s="118"/>
      <c r="O1305" s="118"/>
    </row>
    <row r="1306" spans="1:15" s="25" customFormat="1" ht="22.5" x14ac:dyDescent="0.2">
      <c r="A1306" s="581" t="s">
        <v>277</v>
      </c>
      <c r="B1306" s="582" t="s">
        <v>337</v>
      </c>
      <c r="C1306" s="583" t="s">
        <v>863</v>
      </c>
      <c r="D1306" s="584" t="s">
        <v>47</v>
      </c>
      <c r="E1306" s="583" t="s">
        <v>310</v>
      </c>
      <c r="F1306" s="585">
        <f>1*1.5*7*2</f>
        <v>21</v>
      </c>
      <c r="G1306" s="586"/>
      <c r="H1306" s="587">
        <v>7.16</v>
      </c>
      <c r="I1306" s="588">
        <v>6.62</v>
      </c>
      <c r="J1306" s="589">
        <f>H1306+I1306</f>
        <v>13.780000000000001</v>
      </c>
      <c r="K1306" s="587">
        <f>H1306*F1306</f>
        <v>150.36000000000001</v>
      </c>
      <c r="L1306" s="588">
        <f>I1306*F1306</f>
        <v>139.02000000000001</v>
      </c>
      <c r="M1306" s="589">
        <f>K1306+L1306</f>
        <v>289.38</v>
      </c>
      <c r="N1306" s="585">
        <f>M1306*$N$7</f>
        <v>71.071728000000007</v>
      </c>
      <c r="O1306" s="585">
        <f>ROUND(M1306+N1306,2)</f>
        <v>360.45</v>
      </c>
    </row>
    <row r="1307" spans="1:15" x14ac:dyDescent="0.25">
      <c r="A1307" s="174"/>
      <c r="B1307" s="158"/>
      <c r="C1307" s="10"/>
      <c r="D1307" s="155" t="s">
        <v>288</v>
      </c>
      <c r="E1307" s="4"/>
      <c r="F1307" s="150"/>
      <c r="G1307" s="5"/>
      <c r="H1307" s="140"/>
      <c r="I1307" s="5"/>
      <c r="J1307" s="141"/>
      <c r="K1307" s="140"/>
      <c r="L1307" s="5"/>
      <c r="M1307" s="141"/>
      <c r="N1307" s="118"/>
      <c r="O1307" s="118"/>
    </row>
    <row r="1308" spans="1:15" s="356" customFormat="1" ht="11.25" x14ac:dyDescent="0.2">
      <c r="A1308" s="424"/>
      <c r="B1308" s="425"/>
      <c r="C1308" s="426"/>
      <c r="D1308" s="427" t="s">
        <v>436</v>
      </c>
      <c r="E1308" s="428"/>
      <c r="F1308" s="429"/>
      <c r="G1308" s="430"/>
      <c r="H1308" s="431"/>
      <c r="I1308" s="432"/>
      <c r="J1308" s="433"/>
      <c r="K1308" s="431"/>
      <c r="L1308" s="432"/>
      <c r="M1308" s="433"/>
      <c r="N1308" s="434"/>
      <c r="O1308" s="434"/>
    </row>
    <row r="1309" spans="1:15" s="25" customFormat="1" ht="14.25" x14ac:dyDescent="0.2">
      <c r="A1309" s="166"/>
      <c r="B1309" s="160"/>
      <c r="C1309" s="31"/>
      <c r="D1309" s="146" t="s">
        <v>288</v>
      </c>
      <c r="E1309" s="32"/>
      <c r="F1309" s="147"/>
      <c r="G1309" s="33"/>
      <c r="H1309" s="129"/>
      <c r="I1309" s="29"/>
      <c r="J1309" s="130"/>
      <c r="K1309" s="129"/>
      <c r="L1309" s="29"/>
      <c r="M1309" s="130"/>
      <c r="N1309" s="115"/>
      <c r="O1309" s="115"/>
    </row>
    <row r="1310" spans="1:15" s="25" customFormat="1" ht="14.25" x14ac:dyDescent="0.2">
      <c r="A1310" s="581" t="s">
        <v>277</v>
      </c>
      <c r="B1310" s="582">
        <v>88495</v>
      </c>
      <c r="C1310" s="583" t="s">
        <v>864</v>
      </c>
      <c r="D1310" s="584" t="s">
        <v>773</v>
      </c>
      <c r="E1310" s="583" t="s">
        <v>310</v>
      </c>
      <c r="F1310" s="585">
        <f>'MEMÓRIA DE CÁLCULO'!M82</f>
        <v>793.3</v>
      </c>
      <c r="G1310" s="586"/>
      <c r="H1310" s="587">
        <v>4.42</v>
      </c>
      <c r="I1310" s="588">
        <v>3.78</v>
      </c>
      <c r="J1310" s="589">
        <f>H1310+I1310</f>
        <v>8.1999999999999993</v>
      </c>
      <c r="K1310" s="587">
        <f>H1310*F1310</f>
        <v>3506.386</v>
      </c>
      <c r="L1310" s="588">
        <f>I1310*F1310</f>
        <v>2998.6739999999995</v>
      </c>
      <c r="M1310" s="589">
        <f>K1310+L1310</f>
        <v>6505.0599999999995</v>
      </c>
      <c r="N1310" s="585">
        <f>M1310*$N$7</f>
        <v>1597.642736</v>
      </c>
      <c r="O1310" s="585">
        <f>ROUND(M1310+N1310,2)</f>
        <v>8102.7</v>
      </c>
    </row>
    <row r="1311" spans="1:15" s="25" customFormat="1" ht="14.25" x14ac:dyDescent="0.2">
      <c r="A1311" s="174"/>
      <c r="B1311" s="158"/>
      <c r="C1311" s="10"/>
      <c r="D1311" s="155" t="s">
        <v>288</v>
      </c>
      <c r="E1311" s="4"/>
      <c r="F1311" s="150"/>
      <c r="G1311" s="5"/>
      <c r="H1311" s="140"/>
      <c r="I1311" s="5"/>
      <c r="J1311" s="141"/>
      <c r="K1311" s="140"/>
      <c r="L1311" s="5"/>
      <c r="M1311" s="141"/>
      <c r="N1311" s="118"/>
      <c r="O1311" s="118"/>
    </row>
    <row r="1312" spans="1:15" s="25" customFormat="1" ht="14.25" x14ac:dyDescent="0.2">
      <c r="A1312" s="581" t="s">
        <v>277</v>
      </c>
      <c r="B1312" s="582">
        <v>88489</v>
      </c>
      <c r="C1312" s="583" t="s">
        <v>865</v>
      </c>
      <c r="D1312" s="584" t="s">
        <v>774</v>
      </c>
      <c r="E1312" s="583" t="s">
        <v>310</v>
      </c>
      <c r="F1312" s="585">
        <f>'MEMÓRIA DE CÁLCULO'!L82</f>
        <v>782.9</v>
      </c>
      <c r="G1312" s="586"/>
      <c r="H1312" s="587">
        <v>7.18</v>
      </c>
      <c r="I1312" s="588">
        <v>2.7</v>
      </c>
      <c r="J1312" s="589">
        <f>H1312+I1312</f>
        <v>9.879999999999999</v>
      </c>
      <c r="K1312" s="587">
        <f>H1312*F1312</f>
        <v>5621.2219999999998</v>
      </c>
      <c r="L1312" s="588">
        <f>I1312*F1312</f>
        <v>2113.83</v>
      </c>
      <c r="M1312" s="589">
        <f>K1312+L1312</f>
        <v>7735.0519999999997</v>
      </c>
      <c r="N1312" s="585">
        <f>M1312*$N$7</f>
        <v>1899.7287712</v>
      </c>
      <c r="O1312" s="585">
        <f>ROUND(M1312+N1312,2)</f>
        <v>9634.7800000000007</v>
      </c>
    </row>
    <row r="1313" spans="1:15" x14ac:dyDescent="0.25">
      <c r="A1313" s="174"/>
      <c r="B1313" s="158"/>
      <c r="C1313" s="10"/>
      <c r="D1313" s="155" t="s">
        <v>288</v>
      </c>
      <c r="E1313" s="4"/>
      <c r="F1313" s="150"/>
      <c r="G1313" s="5"/>
      <c r="H1313" s="140"/>
      <c r="I1313" s="5"/>
      <c r="J1313" s="141"/>
      <c r="K1313" s="140"/>
      <c r="L1313" s="5"/>
      <c r="M1313" s="141"/>
      <c r="N1313" s="118"/>
      <c r="O1313" s="118"/>
    </row>
    <row r="1314" spans="1:15" s="25" customFormat="1" ht="14.25" x14ac:dyDescent="0.2">
      <c r="A1314" s="581" t="s">
        <v>277</v>
      </c>
      <c r="B1314" s="582">
        <v>88489</v>
      </c>
      <c r="C1314" s="583" t="s">
        <v>866</v>
      </c>
      <c r="D1314" s="584" t="s">
        <v>775</v>
      </c>
      <c r="E1314" s="583" t="s">
        <v>310</v>
      </c>
      <c r="F1314" s="585">
        <f>'MEMÓRIA DE CÁLCULO'!I82</f>
        <v>10.4</v>
      </c>
      <c r="G1314" s="586"/>
      <c r="H1314" s="587">
        <v>7.18</v>
      </c>
      <c r="I1314" s="588">
        <v>2.7</v>
      </c>
      <c r="J1314" s="589">
        <f>H1314+I1314</f>
        <v>9.879999999999999</v>
      </c>
      <c r="K1314" s="587">
        <f>H1314*F1314</f>
        <v>74.671999999999997</v>
      </c>
      <c r="L1314" s="588">
        <f>I1314*F1314</f>
        <v>28.080000000000002</v>
      </c>
      <c r="M1314" s="589">
        <f>K1314+L1314</f>
        <v>102.752</v>
      </c>
      <c r="N1314" s="585">
        <f>M1314*$N$7</f>
        <v>25.235891200000001</v>
      </c>
      <c r="O1314" s="585">
        <f>ROUND(M1314+N1314,2)</f>
        <v>127.99</v>
      </c>
    </row>
    <row r="1315" spans="1:15" x14ac:dyDescent="0.25">
      <c r="A1315" s="174"/>
      <c r="B1315" s="158"/>
      <c r="C1315" s="10"/>
      <c r="D1315" s="155" t="s">
        <v>288</v>
      </c>
      <c r="E1315" s="4"/>
      <c r="F1315" s="150"/>
      <c r="G1315" s="5"/>
      <c r="H1315" s="140"/>
      <c r="I1315" s="5"/>
      <c r="J1315" s="141"/>
      <c r="K1315" s="140"/>
      <c r="L1315" s="5"/>
      <c r="M1315" s="141"/>
      <c r="N1315" s="118"/>
      <c r="O1315" s="118"/>
    </row>
    <row r="1316" spans="1:15" s="25" customFormat="1" ht="22.5" x14ac:dyDescent="0.2">
      <c r="A1316" s="581" t="s">
        <v>277</v>
      </c>
      <c r="B1316" s="582" t="s">
        <v>337</v>
      </c>
      <c r="C1316" s="583" t="s">
        <v>867</v>
      </c>
      <c r="D1316" s="584" t="s">
        <v>776</v>
      </c>
      <c r="E1316" s="583" t="s">
        <v>310</v>
      </c>
      <c r="F1316" s="585">
        <f>'MEMÓRIA DE CÁLCULO'!I168</f>
        <v>130.41000000000003</v>
      </c>
      <c r="G1316" s="586"/>
      <c r="H1316" s="587">
        <v>7.16</v>
      </c>
      <c r="I1316" s="588">
        <v>6.62</v>
      </c>
      <c r="J1316" s="589">
        <f>H1316+I1316</f>
        <v>13.780000000000001</v>
      </c>
      <c r="K1316" s="587">
        <f>H1316*F1316</f>
        <v>933.7356000000002</v>
      </c>
      <c r="L1316" s="588">
        <f>I1316*F1316</f>
        <v>863.31420000000014</v>
      </c>
      <c r="M1316" s="589">
        <f>K1316+L1316</f>
        <v>1797.0498000000002</v>
      </c>
      <c r="N1316" s="585">
        <f>M1316*$N$7</f>
        <v>441.35543088000009</v>
      </c>
      <c r="O1316" s="585">
        <f>ROUND(M1316+N1316,2)</f>
        <v>2238.41</v>
      </c>
    </row>
    <row r="1317" spans="1:15" x14ac:dyDescent="0.25">
      <c r="A1317" s="174"/>
      <c r="B1317" s="158"/>
      <c r="C1317" s="10"/>
      <c r="D1317" s="155" t="s">
        <v>288</v>
      </c>
      <c r="E1317" s="4"/>
      <c r="F1317" s="150"/>
      <c r="G1317" s="5"/>
      <c r="H1317" s="140"/>
      <c r="I1317" s="5"/>
      <c r="J1317" s="141"/>
      <c r="K1317" s="140"/>
      <c r="L1317" s="5"/>
      <c r="M1317" s="141"/>
      <c r="N1317" s="118"/>
      <c r="O1317" s="118"/>
    </row>
    <row r="1318" spans="1:15" s="25" customFormat="1" ht="22.5" x14ac:dyDescent="0.2">
      <c r="A1318" s="581" t="s">
        <v>277</v>
      </c>
      <c r="B1318" s="582" t="s">
        <v>337</v>
      </c>
      <c r="C1318" s="583" t="s">
        <v>867</v>
      </c>
      <c r="D1318" s="584" t="s">
        <v>47</v>
      </c>
      <c r="E1318" s="583" t="s">
        <v>310</v>
      </c>
      <c r="F1318" s="585">
        <f>11.51*2</f>
        <v>23.02</v>
      </c>
      <c r="G1318" s="586"/>
      <c r="H1318" s="587">
        <v>7.16</v>
      </c>
      <c r="I1318" s="588">
        <v>6.62</v>
      </c>
      <c r="J1318" s="589">
        <f>H1318+I1318</f>
        <v>13.780000000000001</v>
      </c>
      <c r="K1318" s="587">
        <f>H1318*F1318</f>
        <v>164.82320000000001</v>
      </c>
      <c r="L1318" s="588">
        <f>I1318*F1318</f>
        <v>152.39240000000001</v>
      </c>
      <c r="M1318" s="589">
        <f>K1318+L1318</f>
        <v>317.21559999999999</v>
      </c>
      <c r="N1318" s="585">
        <f>M1318*$N$7</f>
        <v>77.908151360000005</v>
      </c>
      <c r="O1318" s="585">
        <f>ROUND(M1318+N1318,2)</f>
        <v>395.12</v>
      </c>
    </row>
    <row r="1319" spans="1:15" x14ac:dyDescent="0.25">
      <c r="A1319" s="174"/>
      <c r="B1319" s="158"/>
      <c r="C1319" s="10"/>
      <c r="D1319" s="155" t="s">
        <v>288</v>
      </c>
      <c r="E1319" s="4"/>
      <c r="F1319" s="150"/>
      <c r="G1319" s="5"/>
      <c r="H1319" s="140"/>
      <c r="I1319" s="5"/>
      <c r="J1319" s="141"/>
      <c r="K1319" s="140"/>
      <c r="L1319" s="5"/>
      <c r="M1319" s="141"/>
      <c r="N1319" s="118"/>
      <c r="O1319" s="118"/>
    </row>
    <row r="1320" spans="1:15" s="356" customFormat="1" ht="11.25" x14ac:dyDescent="0.2">
      <c r="A1320" s="413"/>
      <c r="B1320" s="414"/>
      <c r="C1320" s="415"/>
      <c r="D1320" s="416" t="s">
        <v>437</v>
      </c>
      <c r="E1320" s="417"/>
      <c r="F1320" s="418"/>
      <c r="G1320" s="419"/>
      <c r="H1320" s="420"/>
      <c r="I1320" s="421"/>
      <c r="J1320" s="422"/>
      <c r="K1320" s="420"/>
      <c r="L1320" s="421"/>
      <c r="M1320" s="422"/>
      <c r="N1320" s="423"/>
      <c r="O1320" s="423"/>
    </row>
    <row r="1321" spans="1:15" s="25" customFormat="1" ht="14.25" x14ac:dyDescent="0.2">
      <c r="A1321" s="166"/>
      <c r="B1321" s="160"/>
      <c r="C1321" s="31"/>
      <c r="D1321" s="146" t="s">
        <v>288</v>
      </c>
      <c r="E1321" s="32"/>
      <c r="F1321" s="147"/>
      <c r="G1321" s="33"/>
      <c r="H1321" s="129"/>
      <c r="I1321" s="29"/>
      <c r="J1321" s="130"/>
      <c r="K1321" s="129"/>
      <c r="L1321" s="29"/>
      <c r="M1321" s="130"/>
      <c r="N1321" s="115"/>
      <c r="O1321" s="115"/>
    </row>
    <row r="1322" spans="1:15" s="25" customFormat="1" ht="14.25" x14ac:dyDescent="0.2">
      <c r="A1322" s="581" t="s">
        <v>277</v>
      </c>
      <c r="B1322" s="582">
        <v>88495</v>
      </c>
      <c r="C1322" s="583" t="s">
        <v>868</v>
      </c>
      <c r="D1322" s="584" t="s">
        <v>773</v>
      </c>
      <c r="E1322" s="583" t="s">
        <v>310</v>
      </c>
      <c r="F1322" s="585">
        <f>'MEMÓRIA DE CÁLCULO'!M104</f>
        <v>820.4</v>
      </c>
      <c r="G1322" s="586"/>
      <c r="H1322" s="587">
        <v>4.42</v>
      </c>
      <c r="I1322" s="588">
        <v>3.78</v>
      </c>
      <c r="J1322" s="589">
        <f>H1322+I1322</f>
        <v>8.1999999999999993</v>
      </c>
      <c r="K1322" s="587">
        <f>H1322*F1322</f>
        <v>3626.1679999999997</v>
      </c>
      <c r="L1322" s="588">
        <f>I1322*F1322</f>
        <v>3101.1119999999996</v>
      </c>
      <c r="M1322" s="589">
        <f>K1322+L1322</f>
        <v>6727.2799999999988</v>
      </c>
      <c r="N1322" s="585">
        <f>M1322*$N$7</f>
        <v>1652.2199679999999</v>
      </c>
      <c r="O1322" s="585">
        <f>ROUND(M1322+N1322,2)</f>
        <v>8379.5</v>
      </c>
    </row>
    <row r="1323" spans="1:15" s="25" customFormat="1" ht="14.25" x14ac:dyDescent="0.2">
      <c r="A1323" s="174"/>
      <c r="B1323" s="158"/>
      <c r="C1323" s="10"/>
      <c r="D1323" s="155" t="s">
        <v>288</v>
      </c>
      <c r="E1323" s="4"/>
      <c r="F1323" s="150"/>
      <c r="G1323" s="5"/>
      <c r="H1323" s="140"/>
      <c r="I1323" s="5"/>
      <c r="J1323" s="141"/>
      <c r="K1323" s="140"/>
      <c r="L1323" s="5"/>
      <c r="M1323" s="141"/>
      <c r="N1323" s="118"/>
      <c r="O1323" s="118"/>
    </row>
    <row r="1324" spans="1:15" s="25" customFormat="1" ht="14.25" x14ac:dyDescent="0.2">
      <c r="A1324" s="581" t="s">
        <v>277</v>
      </c>
      <c r="B1324" s="582">
        <v>88489</v>
      </c>
      <c r="C1324" s="583" t="s">
        <v>869</v>
      </c>
      <c r="D1324" s="584" t="s">
        <v>774</v>
      </c>
      <c r="E1324" s="583" t="s">
        <v>310</v>
      </c>
      <c r="F1324" s="585">
        <f>'MEMÓRIA DE CÁLCULO'!L104</f>
        <v>800.4</v>
      </c>
      <c r="G1324" s="586"/>
      <c r="H1324" s="587">
        <v>7.18</v>
      </c>
      <c r="I1324" s="588">
        <v>2.7</v>
      </c>
      <c r="J1324" s="589">
        <f>H1324+I1324</f>
        <v>9.879999999999999</v>
      </c>
      <c r="K1324" s="587">
        <f>H1324*F1324</f>
        <v>5746.8719999999994</v>
      </c>
      <c r="L1324" s="588">
        <f>I1324*F1324</f>
        <v>2161.08</v>
      </c>
      <c r="M1324" s="589">
        <f>K1324+L1324</f>
        <v>7907.9519999999993</v>
      </c>
      <c r="N1324" s="585">
        <f>M1324*$N$7</f>
        <v>1942.1930112</v>
      </c>
      <c r="O1324" s="585">
        <f>ROUND(M1324+N1324,2)</f>
        <v>9850.15</v>
      </c>
    </row>
    <row r="1325" spans="1:15" x14ac:dyDescent="0.25">
      <c r="A1325" s="174"/>
      <c r="B1325" s="158"/>
      <c r="C1325" s="10"/>
      <c r="D1325" s="155" t="s">
        <v>288</v>
      </c>
      <c r="E1325" s="4"/>
      <c r="F1325" s="150"/>
      <c r="G1325" s="5"/>
      <c r="H1325" s="140"/>
      <c r="I1325" s="5"/>
      <c r="J1325" s="141"/>
      <c r="K1325" s="140"/>
      <c r="L1325" s="5"/>
      <c r="M1325" s="141"/>
      <c r="N1325" s="118"/>
      <c r="O1325" s="118"/>
    </row>
    <row r="1326" spans="1:15" s="25" customFormat="1" ht="14.25" x14ac:dyDescent="0.2">
      <c r="A1326" s="581" t="s">
        <v>277</v>
      </c>
      <c r="B1326" s="582">
        <v>88489</v>
      </c>
      <c r="C1326" s="583" t="s">
        <v>870</v>
      </c>
      <c r="D1326" s="584" t="s">
        <v>775</v>
      </c>
      <c r="E1326" s="583" t="s">
        <v>310</v>
      </c>
      <c r="F1326" s="585">
        <f>'MEMÓRIA DE CÁLCULO'!I104</f>
        <v>20</v>
      </c>
      <c r="G1326" s="586"/>
      <c r="H1326" s="587">
        <v>7.18</v>
      </c>
      <c r="I1326" s="588">
        <v>2.7</v>
      </c>
      <c r="J1326" s="589">
        <f>H1326+I1326</f>
        <v>9.879999999999999</v>
      </c>
      <c r="K1326" s="587">
        <f>H1326*F1326</f>
        <v>143.6</v>
      </c>
      <c r="L1326" s="588">
        <f>I1326*F1326</f>
        <v>54</v>
      </c>
      <c r="M1326" s="589">
        <f>K1326+L1326</f>
        <v>197.6</v>
      </c>
      <c r="N1326" s="585">
        <f>M1326*$N$7</f>
        <v>48.530560000000001</v>
      </c>
      <c r="O1326" s="585">
        <f>ROUND(M1326+N1326,2)</f>
        <v>246.13</v>
      </c>
    </row>
    <row r="1327" spans="1:15" x14ac:dyDescent="0.25">
      <c r="A1327" s="174"/>
      <c r="B1327" s="158"/>
      <c r="C1327" s="10"/>
      <c r="D1327" s="155" t="s">
        <v>288</v>
      </c>
      <c r="E1327" s="4"/>
      <c r="F1327" s="150"/>
      <c r="G1327" s="5"/>
      <c r="H1327" s="140"/>
      <c r="I1327" s="5"/>
      <c r="J1327" s="141"/>
      <c r="K1327" s="140"/>
      <c r="L1327" s="5"/>
      <c r="M1327" s="141"/>
      <c r="N1327" s="118"/>
      <c r="O1327" s="118"/>
    </row>
    <row r="1328" spans="1:15" s="25" customFormat="1" ht="22.5" x14ac:dyDescent="0.2">
      <c r="A1328" s="581" t="s">
        <v>277</v>
      </c>
      <c r="B1328" s="582" t="s">
        <v>337</v>
      </c>
      <c r="C1328" s="583" t="s">
        <v>871</v>
      </c>
      <c r="D1328" s="584" t="s">
        <v>776</v>
      </c>
      <c r="E1328" s="583" t="s">
        <v>310</v>
      </c>
      <c r="F1328" s="585">
        <f>'MEMÓRIA DE CÁLCULO'!I184</f>
        <v>107.72999999999999</v>
      </c>
      <c r="G1328" s="586"/>
      <c r="H1328" s="587">
        <v>7.16</v>
      </c>
      <c r="I1328" s="588">
        <v>6.62</v>
      </c>
      <c r="J1328" s="589">
        <f>H1328+I1328</f>
        <v>13.780000000000001</v>
      </c>
      <c r="K1328" s="587">
        <f>H1328*F1328</f>
        <v>771.34679999999992</v>
      </c>
      <c r="L1328" s="588">
        <f>I1328*F1328</f>
        <v>713.17259999999999</v>
      </c>
      <c r="M1328" s="589">
        <f>K1328+L1328</f>
        <v>1484.5193999999999</v>
      </c>
      <c r="N1328" s="585">
        <f>M1328*$N$7</f>
        <v>364.59796463999999</v>
      </c>
      <c r="O1328" s="585">
        <f>ROUND(M1328+N1328,2)</f>
        <v>1849.12</v>
      </c>
    </row>
    <row r="1329" spans="1:15" x14ac:dyDescent="0.25">
      <c r="A1329" s="174"/>
      <c r="B1329" s="158"/>
      <c r="C1329" s="10"/>
      <c r="D1329" s="155" t="s">
        <v>288</v>
      </c>
      <c r="E1329" s="4"/>
      <c r="F1329" s="150"/>
      <c r="G1329" s="5"/>
      <c r="H1329" s="140"/>
      <c r="I1329" s="5"/>
      <c r="J1329" s="141"/>
      <c r="K1329" s="140"/>
      <c r="L1329" s="5"/>
      <c r="M1329" s="141"/>
      <c r="N1329" s="118"/>
      <c r="O1329" s="118"/>
    </row>
    <row r="1330" spans="1:15" s="25" customFormat="1" ht="14.25" x14ac:dyDescent="0.2">
      <c r="A1330" s="167"/>
      <c r="B1330" s="149"/>
      <c r="C1330" s="152"/>
      <c r="D1330" s="154" t="s">
        <v>291</v>
      </c>
      <c r="E1330" s="152"/>
      <c r="F1330" s="113"/>
      <c r="G1330" s="145"/>
      <c r="H1330" s="127"/>
      <c r="I1330" s="37"/>
      <c r="J1330" s="128"/>
      <c r="K1330" s="127"/>
      <c r="L1330" s="37"/>
      <c r="M1330" s="128"/>
      <c r="N1330" s="113"/>
      <c r="O1330" s="113"/>
    </row>
    <row r="1331" spans="1:15" s="25" customFormat="1" ht="14.25" x14ac:dyDescent="0.2">
      <c r="A1331" s="174"/>
      <c r="B1331" s="158"/>
      <c r="C1331" s="10"/>
      <c r="D1331" s="155" t="s">
        <v>288</v>
      </c>
      <c r="E1331" s="4"/>
      <c r="F1331" s="150"/>
      <c r="G1331" s="5"/>
      <c r="H1331" s="140"/>
      <c r="I1331" s="5"/>
      <c r="J1331" s="141"/>
      <c r="K1331" s="140"/>
      <c r="L1331" s="5"/>
      <c r="M1331" s="141"/>
      <c r="N1331" s="118"/>
      <c r="O1331" s="118"/>
    </row>
    <row r="1332" spans="1:15" s="355" customFormat="1" ht="15.75" x14ac:dyDescent="0.2">
      <c r="A1332" s="344"/>
      <c r="B1332" s="345"/>
      <c r="C1332" s="346"/>
      <c r="D1332" s="347" t="s">
        <v>484</v>
      </c>
      <c r="E1332" s="348"/>
      <c r="F1332" s="349"/>
      <c r="G1332" s="350"/>
      <c r="H1332" s="351"/>
      <c r="I1332" s="352"/>
      <c r="J1332" s="353"/>
      <c r="K1332" s="351"/>
      <c r="L1332" s="352"/>
      <c r="M1332" s="353"/>
      <c r="N1332" s="354"/>
      <c r="O1332" s="354"/>
    </row>
    <row r="1333" spans="1:15" s="25" customFormat="1" ht="14.25" x14ac:dyDescent="0.2">
      <c r="A1333" s="166"/>
      <c r="B1333" s="160"/>
      <c r="C1333" s="31"/>
      <c r="D1333" s="146" t="s">
        <v>288</v>
      </c>
      <c r="E1333" s="32"/>
      <c r="F1333" s="147"/>
      <c r="G1333" s="33"/>
      <c r="H1333" s="129"/>
      <c r="I1333" s="29"/>
      <c r="J1333" s="130"/>
      <c r="K1333" s="129"/>
      <c r="L1333" s="29"/>
      <c r="M1333" s="130"/>
      <c r="N1333" s="115"/>
      <c r="O1333" s="115"/>
    </row>
    <row r="1334" spans="1:15" s="25" customFormat="1" ht="22.5" x14ac:dyDescent="0.2">
      <c r="A1334" s="581" t="s">
        <v>277</v>
      </c>
      <c r="B1334" s="582">
        <v>88416</v>
      </c>
      <c r="C1334" s="583" t="s">
        <v>872</v>
      </c>
      <c r="D1334" s="584" t="s">
        <v>123</v>
      </c>
      <c r="E1334" s="583" t="s">
        <v>310</v>
      </c>
      <c r="F1334" s="585">
        <f>'MEMÓRIA DE CÁLCULO'!D108</f>
        <v>177.25</v>
      </c>
      <c r="G1334" s="586"/>
      <c r="H1334" s="587">
        <v>13.58</v>
      </c>
      <c r="I1334" s="588">
        <v>4.7300000000000004</v>
      </c>
      <c r="J1334" s="589">
        <f>H1334+I1334</f>
        <v>18.310000000000002</v>
      </c>
      <c r="K1334" s="587">
        <f>H1334*F1334</f>
        <v>2407.0549999999998</v>
      </c>
      <c r="L1334" s="588">
        <f>I1334*F1334</f>
        <v>838.39250000000004</v>
      </c>
      <c r="M1334" s="589">
        <f>K1334+L1334</f>
        <v>3245.4474999999998</v>
      </c>
      <c r="N1334" s="585">
        <f>M1334*$N$7</f>
        <v>797.081906</v>
      </c>
      <c r="O1334" s="585">
        <f>ROUND(M1334+N1334,2)</f>
        <v>4042.53</v>
      </c>
    </row>
    <row r="1335" spans="1:15" x14ac:dyDescent="0.25">
      <c r="A1335" s="174"/>
      <c r="B1335" s="158"/>
      <c r="C1335" s="10"/>
      <c r="D1335" s="155" t="s">
        <v>288</v>
      </c>
      <c r="E1335" s="4"/>
      <c r="F1335" s="150"/>
      <c r="G1335" s="5"/>
      <c r="H1335" s="140"/>
      <c r="I1335" s="5"/>
      <c r="J1335" s="141"/>
      <c r="K1335" s="140"/>
      <c r="L1335" s="5"/>
      <c r="M1335" s="141"/>
      <c r="N1335" s="118"/>
      <c r="O1335" s="118"/>
    </row>
    <row r="1336" spans="1:15" s="355" customFormat="1" ht="15.75" x14ac:dyDescent="0.2">
      <c r="A1336" s="344"/>
      <c r="B1336" s="345"/>
      <c r="C1336" s="346"/>
      <c r="D1336" s="347" t="s">
        <v>487</v>
      </c>
      <c r="E1336" s="348"/>
      <c r="F1336" s="349"/>
      <c r="G1336" s="350"/>
      <c r="H1336" s="351"/>
      <c r="I1336" s="352"/>
      <c r="J1336" s="353"/>
      <c r="K1336" s="351"/>
      <c r="L1336" s="352"/>
      <c r="M1336" s="353"/>
      <c r="N1336" s="354"/>
      <c r="O1336" s="354"/>
    </row>
    <row r="1337" spans="1:15" s="25" customFormat="1" ht="14.25" x14ac:dyDescent="0.2">
      <c r="A1337" s="166"/>
      <c r="B1337" s="160"/>
      <c r="C1337" s="31"/>
      <c r="D1337" s="146" t="s">
        <v>288</v>
      </c>
      <c r="E1337" s="32"/>
      <c r="F1337" s="147"/>
      <c r="G1337" s="33"/>
      <c r="H1337" s="129"/>
      <c r="I1337" s="29"/>
      <c r="J1337" s="130"/>
      <c r="K1337" s="129"/>
      <c r="L1337" s="29"/>
      <c r="M1337" s="130"/>
      <c r="N1337" s="115"/>
      <c r="O1337" s="115"/>
    </row>
    <row r="1338" spans="1:15" s="25" customFormat="1" ht="22.5" x14ac:dyDescent="0.2">
      <c r="A1338" s="581" t="s">
        <v>277</v>
      </c>
      <c r="B1338" s="582">
        <v>88416</v>
      </c>
      <c r="C1338" s="583" t="s">
        <v>873</v>
      </c>
      <c r="D1338" s="584" t="s">
        <v>123</v>
      </c>
      <c r="E1338" s="583" t="s">
        <v>310</v>
      </c>
      <c r="F1338" s="585">
        <f>'MEMÓRIA DE CÁLCULO'!D109</f>
        <v>505</v>
      </c>
      <c r="G1338" s="586"/>
      <c r="H1338" s="587">
        <v>13.58</v>
      </c>
      <c r="I1338" s="588">
        <v>4.7300000000000004</v>
      </c>
      <c r="J1338" s="589">
        <f>H1338+I1338</f>
        <v>18.310000000000002</v>
      </c>
      <c r="K1338" s="587">
        <f>H1338*F1338</f>
        <v>6857.9</v>
      </c>
      <c r="L1338" s="588">
        <f>I1338*F1338</f>
        <v>2388.65</v>
      </c>
      <c r="M1338" s="589">
        <f>K1338+L1338</f>
        <v>9246.5499999999993</v>
      </c>
      <c r="N1338" s="585">
        <f>M1338*$N$7</f>
        <v>2270.9526799999999</v>
      </c>
      <c r="O1338" s="585">
        <f>ROUND(M1338+N1338,2)</f>
        <v>11517.5</v>
      </c>
    </row>
    <row r="1339" spans="1:15" x14ac:dyDescent="0.25">
      <c r="A1339" s="174"/>
      <c r="B1339" s="158"/>
      <c r="C1339" s="10"/>
      <c r="D1339" s="155" t="s">
        <v>288</v>
      </c>
      <c r="E1339" s="4"/>
      <c r="F1339" s="150"/>
      <c r="G1339" s="5"/>
      <c r="H1339" s="140"/>
      <c r="I1339" s="5"/>
      <c r="J1339" s="141"/>
      <c r="K1339" s="140"/>
      <c r="L1339" s="5"/>
      <c r="M1339" s="141"/>
      <c r="N1339" s="118"/>
      <c r="O1339" s="118"/>
    </row>
    <row r="1340" spans="1:15" s="355" customFormat="1" ht="15.75" x14ac:dyDescent="0.2">
      <c r="A1340" s="344"/>
      <c r="B1340" s="345"/>
      <c r="C1340" s="346"/>
      <c r="D1340" s="347" t="s">
        <v>1037</v>
      </c>
      <c r="E1340" s="348"/>
      <c r="F1340" s="349"/>
      <c r="G1340" s="350"/>
      <c r="H1340" s="351"/>
      <c r="I1340" s="352"/>
      <c r="J1340" s="353"/>
      <c r="K1340" s="351"/>
      <c r="L1340" s="352"/>
      <c r="M1340" s="353"/>
      <c r="N1340" s="354"/>
      <c r="O1340" s="354"/>
    </row>
    <row r="1341" spans="1:15" s="25" customFormat="1" ht="14.25" x14ac:dyDescent="0.2">
      <c r="A1341" s="166"/>
      <c r="B1341" s="160"/>
      <c r="C1341" s="31"/>
      <c r="D1341" s="146" t="s">
        <v>288</v>
      </c>
      <c r="E1341" s="32"/>
      <c r="F1341" s="147"/>
      <c r="G1341" s="33"/>
      <c r="H1341" s="129"/>
      <c r="I1341" s="29"/>
      <c r="J1341" s="130"/>
      <c r="K1341" s="129"/>
      <c r="L1341" s="29"/>
      <c r="M1341" s="130"/>
      <c r="N1341" s="115"/>
      <c r="O1341" s="115"/>
    </row>
    <row r="1342" spans="1:15" s="25" customFormat="1" ht="22.5" x14ac:dyDescent="0.2">
      <c r="A1342" s="581" t="s">
        <v>277</v>
      </c>
      <c r="B1342" s="582">
        <v>88416</v>
      </c>
      <c r="C1342" s="583" t="s">
        <v>874</v>
      </c>
      <c r="D1342" s="584" t="s">
        <v>123</v>
      </c>
      <c r="E1342" s="583" t="s">
        <v>310</v>
      </c>
      <c r="F1342" s="585">
        <f>'MEMÓRIA DE CÁLCULO'!D110</f>
        <v>350</v>
      </c>
      <c r="G1342" s="586"/>
      <c r="H1342" s="587">
        <v>13.58</v>
      </c>
      <c r="I1342" s="588">
        <v>4.7300000000000004</v>
      </c>
      <c r="J1342" s="589">
        <f>H1342+I1342</f>
        <v>18.310000000000002</v>
      </c>
      <c r="K1342" s="587">
        <f>H1342*F1342</f>
        <v>4753</v>
      </c>
      <c r="L1342" s="588">
        <f>I1342*F1342</f>
        <v>1655.5000000000002</v>
      </c>
      <c r="M1342" s="589">
        <f>K1342+L1342</f>
        <v>6408.5</v>
      </c>
      <c r="N1342" s="585">
        <f>M1342*$N$7</f>
        <v>1573.9276</v>
      </c>
      <c r="O1342" s="585">
        <f>ROUND(M1342+N1342,2)</f>
        <v>7982.43</v>
      </c>
    </row>
    <row r="1343" spans="1:15" x14ac:dyDescent="0.25">
      <c r="A1343" s="174"/>
      <c r="B1343" s="158"/>
      <c r="C1343" s="10"/>
      <c r="D1343" s="155" t="s">
        <v>288</v>
      </c>
      <c r="E1343" s="4"/>
      <c r="F1343" s="150"/>
      <c r="G1343" s="5"/>
      <c r="H1343" s="140"/>
      <c r="I1343" s="5"/>
      <c r="J1343" s="141"/>
      <c r="K1343" s="140"/>
      <c r="L1343" s="5"/>
      <c r="M1343" s="141"/>
      <c r="N1343" s="118"/>
      <c r="O1343" s="118"/>
    </row>
    <row r="1344" spans="1:15" s="355" customFormat="1" ht="15.75" x14ac:dyDescent="0.2">
      <c r="A1344" s="344"/>
      <c r="B1344" s="345"/>
      <c r="C1344" s="346"/>
      <c r="D1344" s="347" t="s">
        <v>1034</v>
      </c>
      <c r="E1344" s="348"/>
      <c r="F1344" s="349"/>
      <c r="G1344" s="350"/>
      <c r="H1344" s="351"/>
      <c r="I1344" s="352"/>
      <c r="J1344" s="353"/>
      <c r="K1344" s="351"/>
      <c r="L1344" s="352"/>
      <c r="M1344" s="353"/>
      <c r="N1344" s="354"/>
      <c r="O1344" s="354"/>
    </row>
    <row r="1345" spans="1:15" s="25" customFormat="1" ht="14.25" x14ac:dyDescent="0.2">
      <c r="A1345" s="166"/>
      <c r="B1345" s="160"/>
      <c r="C1345" s="31"/>
      <c r="D1345" s="146" t="s">
        <v>288</v>
      </c>
      <c r="E1345" s="32"/>
      <c r="F1345" s="147"/>
      <c r="G1345" s="33"/>
      <c r="H1345" s="129"/>
      <c r="I1345" s="29"/>
      <c r="J1345" s="130"/>
      <c r="K1345" s="129"/>
      <c r="L1345" s="29"/>
      <c r="M1345" s="130"/>
      <c r="N1345" s="115"/>
      <c r="O1345" s="115"/>
    </row>
    <row r="1346" spans="1:15" s="25" customFormat="1" ht="22.5" x14ac:dyDescent="0.2">
      <c r="A1346" s="581" t="s">
        <v>277</v>
      </c>
      <c r="B1346" s="582">
        <v>88416</v>
      </c>
      <c r="C1346" s="583" t="s">
        <v>875</v>
      </c>
      <c r="D1346" s="584" t="s">
        <v>123</v>
      </c>
      <c r="E1346" s="583" t="s">
        <v>310</v>
      </c>
      <c r="F1346" s="585">
        <f>'MEMÓRIA DE CÁLCULO'!D111</f>
        <v>240</v>
      </c>
      <c r="G1346" s="586"/>
      <c r="H1346" s="587">
        <v>13.58</v>
      </c>
      <c r="I1346" s="588">
        <v>4.7300000000000004</v>
      </c>
      <c r="J1346" s="589">
        <f>H1346+I1346</f>
        <v>18.310000000000002</v>
      </c>
      <c r="K1346" s="587">
        <f>H1346*F1346</f>
        <v>3259.2</v>
      </c>
      <c r="L1346" s="588">
        <f>I1346*F1346</f>
        <v>1135.2</v>
      </c>
      <c r="M1346" s="589">
        <f>K1346+L1346</f>
        <v>4394.3999999999996</v>
      </c>
      <c r="N1346" s="585">
        <f>M1346*$N$7</f>
        <v>1079.2646399999999</v>
      </c>
      <c r="O1346" s="585">
        <f>ROUND(M1346+N1346,2)</f>
        <v>5473.66</v>
      </c>
    </row>
    <row r="1347" spans="1:15" x14ac:dyDescent="0.25">
      <c r="A1347" s="174"/>
      <c r="B1347" s="158"/>
      <c r="C1347" s="10"/>
      <c r="D1347" s="155" t="s">
        <v>288</v>
      </c>
      <c r="E1347" s="4"/>
      <c r="F1347" s="150"/>
      <c r="G1347" s="5"/>
      <c r="H1347" s="140"/>
      <c r="I1347" s="5"/>
      <c r="J1347" s="141"/>
      <c r="K1347" s="140"/>
      <c r="L1347" s="5"/>
      <c r="M1347" s="141"/>
      <c r="N1347" s="118"/>
      <c r="O1347" s="118"/>
    </row>
    <row r="1348" spans="1:15" s="25" customFormat="1" ht="14.25" x14ac:dyDescent="0.2">
      <c r="A1348" s="167"/>
      <c r="B1348" s="149"/>
      <c r="C1348" s="152"/>
      <c r="D1348" s="154" t="s">
        <v>292</v>
      </c>
      <c r="E1348" s="152"/>
      <c r="F1348" s="113"/>
      <c r="G1348" s="145"/>
      <c r="H1348" s="127"/>
      <c r="I1348" s="37"/>
      <c r="J1348" s="128"/>
      <c r="K1348" s="127"/>
      <c r="L1348" s="37"/>
      <c r="M1348" s="128"/>
      <c r="N1348" s="113"/>
      <c r="O1348" s="113"/>
    </row>
    <row r="1349" spans="1:15" ht="13.5" customHeight="1" x14ac:dyDescent="0.25">
      <c r="A1349" s="174"/>
      <c r="B1349" s="158"/>
      <c r="C1349" s="10"/>
      <c r="D1349" s="155" t="s">
        <v>288</v>
      </c>
      <c r="E1349" s="4"/>
      <c r="F1349" s="150"/>
      <c r="G1349" s="5"/>
      <c r="H1349" s="140"/>
      <c r="I1349" s="5"/>
      <c r="J1349" s="141"/>
      <c r="K1349" s="140"/>
      <c r="L1349" s="5"/>
      <c r="M1349" s="141"/>
      <c r="N1349" s="118"/>
      <c r="O1349" s="118"/>
    </row>
    <row r="1350" spans="1:15" s="25" customFormat="1" ht="22.5" x14ac:dyDescent="0.2">
      <c r="A1350" s="581" t="s">
        <v>277</v>
      </c>
      <c r="B1350" s="582">
        <v>41595</v>
      </c>
      <c r="C1350" s="583" t="s">
        <v>973</v>
      </c>
      <c r="D1350" s="584" t="s">
        <v>777</v>
      </c>
      <c r="E1350" s="583" t="s">
        <v>314</v>
      </c>
      <c r="F1350" s="585">
        <f>15*4</f>
        <v>60</v>
      </c>
      <c r="G1350" s="586"/>
      <c r="H1350" s="587">
        <v>3.37</v>
      </c>
      <c r="I1350" s="588">
        <f>1.01*5.78</f>
        <v>5.8378000000000005</v>
      </c>
      <c r="J1350" s="589">
        <f>H1350+I1350</f>
        <v>9.2078000000000007</v>
      </c>
      <c r="K1350" s="587">
        <f>H1350*F1350</f>
        <v>202.20000000000002</v>
      </c>
      <c r="L1350" s="588">
        <f>I1350*F1350</f>
        <v>350.26800000000003</v>
      </c>
      <c r="M1350" s="589">
        <f>K1350+L1350</f>
        <v>552.46800000000007</v>
      </c>
      <c r="N1350" s="585">
        <f>M1350*$N$7</f>
        <v>135.68614080000003</v>
      </c>
      <c r="O1350" s="585">
        <f>ROUND(M1350+N1350,2)</f>
        <v>688.15</v>
      </c>
    </row>
    <row r="1351" spans="1:15" x14ac:dyDescent="0.25">
      <c r="A1351" s="174"/>
      <c r="B1351" s="158"/>
      <c r="C1351" s="10"/>
      <c r="D1351" s="155" t="s">
        <v>288</v>
      </c>
      <c r="E1351" s="4"/>
      <c r="F1351" s="150"/>
      <c r="G1351" s="5"/>
      <c r="H1351" s="140"/>
      <c r="I1351" s="5"/>
      <c r="J1351" s="141"/>
      <c r="K1351" s="140"/>
      <c r="L1351" s="5"/>
      <c r="M1351" s="141"/>
      <c r="N1351" s="118"/>
      <c r="O1351" s="118"/>
    </row>
    <row r="1352" spans="1:15" s="25" customFormat="1" ht="31.5" x14ac:dyDescent="0.2">
      <c r="A1352" s="187"/>
      <c r="B1352" s="188"/>
      <c r="C1352" s="189">
        <v>18</v>
      </c>
      <c r="D1352" s="190" t="s">
        <v>74</v>
      </c>
      <c r="E1352" s="191"/>
      <c r="F1352" s="190"/>
      <c r="G1352" s="191"/>
      <c r="H1352" s="192"/>
      <c r="I1352" s="193"/>
      <c r="J1352" s="194"/>
      <c r="K1352" s="192"/>
      <c r="L1352" s="193"/>
      <c r="M1352" s="194"/>
      <c r="N1352" s="195"/>
      <c r="O1352" s="196">
        <f>SUM(O1356:O1394)</f>
        <v>15974.609999999997</v>
      </c>
    </row>
    <row r="1353" spans="1:15" x14ac:dyDescent="0.25">
      <c r="A1353" s="174"/>
      <c r="B1353" s="158"/>
      <c r="C1353" s="10"/>
      <c r="D1353" s="155" t="s">
        <v>288</v>
      </c>
      <c r="E1353" s="4"/>
      <c r="F1353" s="150"/>
      <c r="G1353" s="5"/>
      <c r="H1353" s="140"/>
      <c r="I1353" s="5"/>
      <c r="J1353" s="141"/>
      <c r="K1353" s="140"/>
      <c r="L1353" s="5"/>
      <c r="M1353" s="141"/>
      <c r="N1353" s="120"/>
      <c r="O1353" s="120"/>
    </row>
    <row r="1354" spans="1:15" s="355" customFormat="1" ht="15.75" x14ac:dyDescent="0.2">
      <c r="A1354" s="344"/>
      <c r="B1354" s="345"/>
      <c r="C1354" s="346"/>
      <c r="D1354" s="347" t="s">
        <v>75</v>
      </c>
      <c r="E1354" s="348"/>
      <c r="F1354" s="349"/>
      <c r="G1354" s="350"/>
      <c r="H1354" s="351"/>
      <c r="I1354" s="352"/>
      <c r="J1354" s="353"/>
      <c r="K1354" s="351"/>
      <c r="L1354" s="352"/>
      <c r="M1354" s="353"/>
      <c r="N1354" s="354"/>
      <c r="O1354" s="354"/>
    </row>
    <row r="1355" spans="1:15" x14ac:dyDescent="0.25">
      <c r="A1355" s="174"/>
      <c r="B1355" s="158"/>
      <c r="C1355" s="10"/>
      <c r="D1355" s="155" t="s">
        <v>288</v>
      </c>
      <c r="E1355" s="4"/>
      <c r="F1355" s="150"/>
      <c r="G1355" s="5"/>
      <c r="H1355" s="140"/>
      <c r="I1355" s="5"/>
      <c r="J1355" s="141"/>
      <c r="K1355" s="140"/>
      <c r="L1355" s="5"/>
      <c r="M1355" s="141"/>
      <c r="N1355" s="120"/>
      <c r="O1355" s="120"/>
    </row>
    <row r="1356" spans="1:15" s="25" customFormat="1" ht="33.75" x14ac:dyDescent="0.2">
      <c r="A1356" s="581"/>
      <c r="B1356" s="582" t="s">
        <v>85</v>
      </c>
      <c r="C1356" s="583" t="s">
        <v>876</v>
      </c>
      <c r="D1356" s="584" t="s">
        <v>133</v>
      </c>
      <c r="E1356" s="583" t="s">
        <v>248</v>
      </c>
      <c r="F1356" s="585">
        <v>28.65</v>
      </c>
      <c r="G1356" s="586"/>
      <c r="H1356" s="587">
        <f>(2*27.9)*2</f>
        <v>111.6</v>
      </c>
      <c r="I1356" s="588">
        <v>41.43</v>
      </c>
      <c r="J1356" s="589">
        <f>H1356+I1356</f>
        <v>153.03</v>
      </c>
      <c r="K1356" s="587">
        <f>H1356*F1356</f>
        <v>3197.3399999999997</v>
      </c>
      <c r="L1356" s="588">
        <f>I1356*F1356</f>
        <v>1186.9694999999999</v>
      </c>
      <c r="M1356" s="589">
        <f>K1356+L1356</f>
        <v>4384.3094999999994</v>
      </c>
      <c r="N1356" s="585">
        <f>M1356*$N$7</f>
        <v>1076.7864132</v>
      </c>
      <c r="O1356" s="585">
        <f>ROUND(M1356+N1356,2)</f>
        <v>5461.1</v>
      </c>
    </row>
    <row r="1357" spans="1:15" ht="33.75" x14ac:dyDescent="0.25">
      <c r="A1357" s="174"/>
      <c r="B1357" s="158" t="s">
        <v>84</v>
      </c>
      <c r="C1357" s="10"/>
      <c r="D1357" s="155" t="s">
        <v>288</v>
      </c>
      <c r="E1357" s="4"/>
      <c r="F1357" s="150"/>
      <c r="G1357" s="5"/>
      <c r="H1357" s="140"/>
      <c r="I1357" s="5"/>
      <c r="J1357" s="141"/>
      <c r="K1357" s="140"/>
      <c r="L1357" s="5"/>
      <c r="M1357" s="141"/>
      <c r="N1357" s="120"/>
      <c r="O1357" s="120"/>
    </row>
    <row r="1358" spans="1:15" s="25" customFormat="1" ht="14.25" x14ac:dyDescent="0.2">
      <c r="A1358" s="581"/>
      <c r="B1358" s="582" t="s">
        <v>203</v>
      </c>
      <c r="C1358" s="583" t="s">
        <v>974</v>
      </c>
      <c r="D1358" s="584" t="s">
        <v>83</v>
      </c>
      <c r="E1358" s="583" t="s">
        <v>310</v>
      </c>
      <c r="F1358" s="585">
        <v>14</v>
      </c>
      <c r="G1358" s="586"/>
      <c r="H1358" s="587">
        <v>150</v>
      </c>
      <c r="I1358" s="588">
        <v>5</v>
      </c>
      <c r="J1358" s="589">
        <f>H1358+I1358</f>
        <v>155</v>
      </c>
      <c r="K1358" s="587">
        <f>H1358*F1358</f>
        <v>2100</v>
      </c>
      <c r="L1358" s="588">
        <f>I1358*F1358</f>
        <v>70</v>
      </c>
      <c r="M1358" s="589">
        <f>K1358+L1358</f>
        <v>2170</v>
      </c>
      <c r="N1358" s="585">
        <f>M1358*$N$7</f>
        <v>532.952</v>
      </c>
      <c r="O1358" s="585">
        <f>ROUND(M1358+N1358,2)</f>
        <v>2702.95</v>
      </c>
    </row>
    <row r="1359" spans="1:15" x14ac:dyDescent="0.25">
      <c r="A1359" s="174"/>
      <c r="C1359" s="10"/>
      <c r="D1359" s="155" t="s">
        <v>288</v>
      </c>
      <c r="E1359" s="4"/>
      <c r="F1359" s="150"/>
      <c r="G1359" s="5"/>
      <c r="H1359" s="140"/>
      <c r="I1359" s="5"/>
      <c r="J1359" s="141"/>
      <c r="K1359" s="140"/>
      <c r="L1359" s="5"/>
      <c r="M1359" s="141"/>
      <c r="N1359" s="120"/>
      <c r="O1359" s="120"/>
    </row>
    <row r="1360" spans="1:15" s="25" customFormat="1" ht="14.25" x14ac:dyDescent="0.2">
      <c r="A1360" s="581" t="s">
        <v>225</v>
      </c>
      <c r="B1360" s="582">
        <v>30004000074</v>
      </c>
      <c r="C1360" s="583" t="s">
        <v>975</v>
      </c>
      <c r="D1360" s="584" t="s">
        <v>86</v>
      </c>
      <c r="E1360" s="583" t="s">
        <v>227</v>
      </c>
      <c r="F1360" s="585">
        <v>42</v>
      </c>
      <c r="G1360" s="586"/>
      <c r="H1360" s="588">
        <f>ROUND(SUM(H1361:H1368),2)</f>
        <v>2.0299999999999998</v>
      </c>
      <c r="I1360" s="588">
        <f>ROUND(SUM(I1361:I1368),2)</f>
        <v>1.93</v>
      </c>
      <c r="J1360" s="589">
        <f>H1360+I1360</f>
        <v>3.96</v>
      </c>
      <c r="K1360" s="587">
        <f>H1360*F1360</f>
        <v>85.259999999999991</v>
      </c>
      <c r="L1360" s="588">
        <f>I1360*F1360</f>
        <v>81.06</v>
      </c>
      <c r="M1360" s="589">
        <f>K1360+L1360</f>
        <v>166.32</v>
      </c>
      <c r="N1360" s="585">
        <f>M1360*$N$7</f>
        <v>40.848191999999997</v>
      </c>
      <c r="O1360" s="585">
        <f>ROUND(M1360+N1360,2)</f>
        <v>207.17</v>
      </c>
    </row>
    <row r="1361" spans="1:15" s="369" customFormat="1" ht="11.25" x14ac:dyDescent="0.25">
      <c r="A1361" s="362"/>
      <c r="B1361" s="363"/>
      <c r="C1361" s="364"/>
      <c r="D1361" s="365" t="s">
        <v>76</v>
      </c>
      <c r="E1361" s="366" t="s">
        <v>229</v>
      </c>
      <c r="F1361" s="367">
        <v>0.09</v>
      </c>
      <c r="G1361" s="35">
        <v>12.57</v>
      </c>
      <c r="H1361" s="133"/>
      <c r="I1361" s="35">
        <f>F1361*G1361</f>
        <v>1.1313</v>
      </c>
      <c r="J1361" s="134"/>
      <c r="K1361" s="133"/>
      <c r="L1361" s="35"/>
      <c r="M1361" s="134"/>
      <c r="N1361" s="117"/>
      <c r="O1361" s="368"/>
    </row>
    <row r="1362" spans="1:15" s="369" customFormat="1" ht="11.25" x14ac:dyDescent="0.25">
      <c r="A1362" s="362"/>
      <c r="B1362" s="363"/>
      <c r="C1362" s="364"/>
      <c r="D1362" s="365" t="s">
        <v>207</v>
      </c>
      <c r="E1362" s="366" t="s">
        <v>229</v>
      </c>
      <c r="F1362" s="367">
        <v>0.09</v>
      </c>
      <c r="G1362" s="35">
        <v>8.92</v>
      </c>
      <c r="H1362" s="133"/>
      <c r="I1362" s="35">
        <f>F1362*G1362</f>
        <v>0.80279999999999996</v>
      </c>
      <c r="J1362" s="134"/>
      <c r="K1362" s="133"/>
      <c r="L1362" s="35"/>
      <c r="M1362" s="134"/>
      <c r="N1362" s="115"/>
      <c r="O1362" s="358"/>
    </row>
    <row r="1363" spans="1:15" s="369" customFormat="1" ht="11.25" x14ac:dyDescent="0.25">
      <c r="A1363" s="362"/>
      <c r="B1363" s="363"/>
      <c r="C1363" s="364"/>
      <c r="D1363" s="365" t="s">
        <v>77</v>
      </c>
      <c r="E1363" s="366" t="s">
        <v>248</v>
      </c>
      <c r="F1363" s="367">
        <v>7.3999999999999996E-2</v>
      </c>
      <c r="G1363" s="35">
        <v>0.23</v>
      </c>
      <c r="H1363" s="133">
        <f t="shared" ref="H1363:H1368" si="17">F1363*G1363</f>
        <v>1.702E-2</v>
      </c>
      <c r="I1363" s="35"/>
      <c r="J1363" s="134"/>
      <c r="K1363" s="133"/>
      <c r="L1363" s="35"/>
      <c r="M1363" s="134"/>
      <c r="N1363" s="114"/>
      <c r="O1363" s="370"/>
    </row>
    <row r="1364" spans="1:15" s="379" customFormat="1" ht="11.25" x14ac:dyDescent="0.25">
      <c r="A1364" s="362"/>
      <c r="B1364" s="363"/>
      <c r="C1364" s="364"/>
      <c r="D1364" s="365" t="s">
        <v>78</v>
      </c>
      <c r="E1364" s="366" t="s">
        <v>227</v>
      </c>
      <c r="F1364" s="367">
        <v>3.2000000000000001E-2</v>
      </c>
      <c r="G1364" s="371">
        <v>25.89</v>
      </c>
      <c r="H1364" s="133">
        <f t="shared" si="17"/>
        <v>0.82847999999999999</v>
      </c>
      <c r="I1364" s="372"/>
      <c r="J1364" s="373"/>
      <c r="K1364" s="374"/>
      <c r="L1364" s="375"/>
      <c r="M1364" s="376"/>
      <c r="N1364" s="377"/>
      <c r="O1364" s="378"/>
    </row>
    <row r="1365" spans="1:15" s="379" customFormat="1" ht="11.25" x14ac:dyDescent="0.25">
      <c r="A1365" s="362"/>
      <c r="B1365" s="363"/>
      <c r="C1365" s="364"/>
      <c r="D1365" s="365" t="s">
        <v>79</v>
      </c>
      <c r="E1365" s="366" t="s">
        <v>227</v>
      </c>
      <c r="F1365" s="367">
        <v>7.3999999999999996E-2</v>
      </c>
      <c r="G1365" s="371">
        <v>1.08</v>
      </c>
      <c r="H1365" s="133">
        <f t="shared" si="17"/>
        <v>7.9920000000000005E-2</v>
      </c>
      <c r="I1365" s="372"/>
      <c r="J1365" s="373"/>
      <c r="K1365" s="374"/>
      <c r="L1365" s="375"/>
      <c r="M1365" s="376"/>
      <c r="N1365" s="377"/>
      <c r="O1365" s="378"/>
    </row>
    <row r="1366" spans="1:15" s="379" customFormat="1" ht="11.25" x14ac:dyDescent="0.25">
      <c r="A1366" s="362"/>
      <c r="B1366" s="363"/>
      <c r="C1366" s="364"/>
      <c r="D1366" s="380" t="s">
        <v>80</v>
      </c>
      <c r="E1366" s="364" t="s">
        <v>227</v>
      </c>
      <c r="F1366" s="367">
        <v>5.0000000000000001E-3</v>
      </c>
      <c r="G1366" s="381">
        <v>122.5</v>
      </c>
      <c r="H1366" s="133">
        <f t="shared" si="17"/>
        <v>0.61250000000000004</v>
      </c>
      <c r="I1366" s="382"/>
      <c r="J1366" s="373"/>
      <c r="K1366" s="374"/>
      <c r="L1366" s="375"/>
      <c r="M1366" s="376"/>
      <c r="N1366" s="377"/>
      <c r="O1366" s="378"/>
    </row>
    <row r="1367" spans="1:15" s="379" customFormat="1" ht="11.25" x14ac:dyDescent="0.25">
      <c r="A1367" s="362"/>
      <c r="B1367" s="363"/>
      <c r="C1367" s="364"/>
      <c r="D1367" s="365" t="s">
        <v>81</v>
      </c>
      <c r="E1367" s="366" t="s">
        <v>227</v>
      </c>
      <c r="F1367" s="367">
        <v>1</v>
      </c>
      <c r="G1367" s="371">
        <v>0.48</v>
      </c>
      <c r="H1367" s="133">
        <f t="shared" si="17"/>
        <v>0.48</v>
      </c>
      <c r="I1367" s="372"/>
      <c r="J1367" s="373"/>
      <c r="K1367" s="374"/>
      <c r="L1367" s="375"/>
      <c r="M1367" s="376"/>
      <c r="N1367" s="377"/>
      <c r="O1367" s="378"/>
    </row>
    <row r="1368" spans="1:15" s="379" customFormat="1" ht="11.25" x14ac:dyDescent="0.25">
      <c r="A1368" s="362"/>
      <c r="B1368" s="363"/>
      <c r="C1368" s="364"/>
      <c r="D1368" s="365" t="s">
        <v>82</v>
      </c>
      <c r="E1368" s="366" t="s">
        <v>227</v>
      </c>
      <c r="F1368" s="367">
        <v>7.3999999999999996E-2</v>
      </c>
      <c r="G1368" s="371">
        <v>0.13</v>
      </c>
      <c r="H1368" s="133">
        <f t="shared" si="17"/>
        <v>9.6200000000000001E-3</v>
      </c>
      <c r="I1368" s="372"/>
      <c r="J1368" s="373"/>
      <c r="K1368" s="374"/>
      <c r="L1368" s="375"/>
      <c r="M1368" s="376"/>
      <c r="N1368" s="377"/>
      <c r="O1368" s="378"/>
    </row>
    <row r="1369" spans="1:15" s="379" customFormat="1" ht="11.25" x14ac:dyDescent="0.25">
      <c r="A1369" s="362"/>
      <c r="B1369" s="363"/>
      <c r="C1369" s="364"/>
      <c r="D1369" s="365"/>
      <c r="E1369" s="366"/>
      <c r="F1369" s="380"/>
      <c r="G1369" s="383"/>
      <c r="H1369" s="384"/>
      <c r="I1369" s="372"/>
      <c r="J1369" s="373"/>
      <c r="K1369" s="374"/>
      <c r="L1369" s="375"/>
      <c r="M1369" s="376"/>
      <c r="N1369" s="377"/>
      <c r="O1369" s="378"/>
    </row>
    <row r="1370" spans="1:15" s="355" customFormat="1" ht="15.75" x14ac:dyDescent="0.2">
      <c r="A1370" s="344"/>
      <c r="B1370" s="345"/>
      <c r="C1370" s="346"/>
      <c r="D1370" s="347" t="s">
        <v>889</v>
      </c>
      <c r="E1370" s="348"/>
      <c r="F1370" s="349"/>
      <c r="G1370" s="350"/>
      <c r="H1370" s="351"/>
      <c r="I1370" s="352"/>
      <c r="J1370" s="353"/>
      <c r="K1370" s="351"/>
      <c r="L1370" s="352"/>
      <c r="M1370" s="353"/>
      <c r="N1370" s="354"/>
      <c r="O1370" s="354"/>
    </row>
    <row r="1371" spans="1:15" x14ac:dyDescent="0.25">
      <c r="A1371" s="174"/>
      <c r="B1371" s="158"/>
      <c r="C1371" s="10"/>
      <c r="D1371" s="155" t="s">
        <v>288</v>
      </c>
      <c r="E1371" s="4"/>
      <c r="F1371" s="150"/>
      <c r="G1371" s="5"/>
      <c r="H1371" s="140"/>
      <c r="I1371" s="5"/>
      <c r="J1371" s="141"/>
      <c r="K1371" s="140"/>
      <c r="L1371" s="5"/>
      <c r="M1371" s="141"/>
      <c r="N1371" s="120"/>
      <c r="O1371" s="120"/>
    </row>
    <row r="1372" spans="1:15" s="25" customFormat="1" ht="22.5" x14ac:dyDescent="0.2">
      <c r="A1372" s="581"/>
      <c r="B1372" s="582" t="s">
        <v>890</v>
      </c>
      <c r="C1372" s="583" t="s">
        <v>976</v>
      </c>
      <c r="D1372" s="584" t="s">
        <v>891</v>
      </c>
      <c r="E1372" s="583" t="s">
        <v>227</v>
      </c>
      <c r="F1372" s="585">
        <v>6</v>
      </c>
      <c r="G1372" s="586"/>
      <c r="H1372" s="588">
        <f>ROUND(SUM(H1373:H1374),2)</f>
        <v>0</v>
      </c>
      <c r="I1372" s="588">
        <f>ROUND(SUM(I1373:I1374),2)</f>
        <v>17.190000000000001</v>
      </c>
      <c r="J1372" s="589">
        <f>H1372+I1372</f>
        <v>17.190000000000001</v>
      </c>
      <c r="K1372" s="587">
        <f>H1372*F1372</f>
        <v>0</v>
      </c>
      <c r="L1372" s="588">
        <f>I1372*F1372</f>
        <v>103.14000000000001</v>
      </c>
      <c r="M1372" s="589">
        <f>K1372+L1372</f>
        <v>103.14000000000001</v>
      </c>
      <c r="N1372" s="585">
        <f>M1372*$N$7</f>
        <v>25.331184000000004</v>
      </c>
      <c r="O1372" s="585">
        <f>ROUND(M1372+N1372,2)</f>
        <v>128.47</v>
      </c>
    </row>
    <row r="1373" spans="1:15" s="369" customFormat="1" ht="11.25" x14ac:dyDescent="0.25">
      <c r="A1373" s="362"/>
      <c r="B1373" s="363"/>
      <c r="C1373" s="364"/>
      <c r="D1373" s="365" t="s">
        <v>577</v>
      </c>
      <c r="E1373" s="366" t="s">
        <v>229</v>
      </c>
      <c r="F1373" s="367">
        <v>0.8</v>
      </c>
      <c r="G1373" s="35">
        <v>12.57</v>
      </c>
      <c r="H1373" s="133"/>
      <c r="I1373" s="35">
        <f>F1373*G1373</f>
        <v>10.056000000000001</v>
      </c>
      <c r="J1373" s="134"/>
      <c r="K1373" s="133"/>
      <c r="L1373" s="35"/>
      <c r="M1373" s="134"/>
      <c r="N1373" s="117"/>
      <c r="O1373" s="368"/>
    </row>
    <row r="1374" spans="1:15" s="369" customFormat="1" ht="11.25" x14ac:dyDescent="0.25">
      <c r="A1374" s="362"/>
      <c r="B1374" s="363"/>
      <c r="C1374" s="364"/>
      <c r="D1374" s="365" t="s">
        <v>207</v>
      </c>
      <c r="E1374" s="366" t="s">
        <v>229</v>
      </c>
      <c r="F1374" s="367">
        <v>0.8</v>
      </c>
      <c r="G1374" s="35">
        <v>8.92</v>
      </c>
      <c r="H1374" s="133"/>
      <c r="I1374" s="35">
        <f>F1374*G1374</f>
        <v>7.1360000000000001</v>
      </c>
      <c r="J1374" s="134"/>
      <c r="K1374" s="133"/>
      <c r="L1374" s="35"/>
      <c r="M1374" s="134"/>
      <c r="N1374" s="115"/>
      <c r="O1374" s="358"/>
    </row>
    <row r="1375" spans="1:15" s="369" customFormat="1" ht="11.25" x14ac:dyDescent="0.25">
      <c r="A1375" s="362"/>
      <c r="B1375" s="363"/>
      <c r="C1375" s="364"/>
      <c r="D1375" s="365"/>
      <c r="E1375" s="366"/>
      <c r="F1375" s="367"/>
      <c r="G1375" s="35"/>
      <c r="H1375" s="133"/>
      <c r="I1375" s="35"/>
      <c r="J1375" s="134"/>
      <c r="K1375" s="133"/>
      <c r="L1375" s="35"/>
      <c r="M1375" s="134"/>
      <c r="N1375" s="115"/>
      <c r="O1375" s="573"/>
    </row>
    <row r="1376" spans="1:15" s="25" customFormat="1" ht="22.5" x14ac:dyDescent="0.2">
      <c r="A1376" s="581"/>
      <c r="B1376" s="582" t="s">
        <v>890</v>
      </c>
      <c r="C1376" s="583" t="s">
        <v>977</v>
      </c>
      <c r="D1376" s="584" t="s">
        <v>892</v>
      </c>
      <c r="E1376" s="583" t="s">
        <v>227</v>
      </c>
      <c r="F1376" s="585">
        <v>48</v>
      </c>
      <c r="G1376" s="586"/>
      <c r="H1376" s="588">
        <f>ROUND(SUM(H1377:H1378),2)</f>
        <v>0</v>
      </c>
      <c r="I1376" s="588">
        <f>ROUND(SUM(I1377:I1378),2)</f>
        <v>5.37</v>
      </c>
      <c r="J1376" s="589">
        <f>H1376+I1376</f>
        <v>5.37</v>
      </c>
      <c r="K1376" s="587">
        <f>H1376*F1376</f>
        <v>0</v>
      </c>
      <c r="L1376" s="588">
        <f>I1376*F1376</f>
        <v>257.76</v>
      </c>
      <c r="M1376" s="589">
        <f>K1376+L1376</f>
        <v>257.76</v>
      </c>
      <c r="N1376" s="585">
        <f>M1376*$N$7</f>
        <v>63.305855999999999</v>
      </c>
      <c r="O1376" s="585">
        <f>ROUND(M1376+N1376,2)</f>
        <v>321.07</v>
      </c>
    </row>
    <row r="1377" spans="1:15" s="369" customFormat="1" ht="11.25" x14ac:dyDescent="0.25">
      <c r="A1377" s="362"/>
      <c r="B1377" s="363"/>
      <c r="C1377" s="364"/>
      <c r="D1377" s="365" t="s">
        <v>577</v>
      </c>
      <c r="E1377" s="366" t="s">
        <v>229</v>
      </c>
      <c r="F1377" s="367">
        <v>0.25</v>
      </c>
      <c r="G1377" s="35">
        <v>12.57</v>
      </c>
      <c r="H1377" s="133"/>
      <c r="I1377" s="35">
        <f>F1377*G1377</f>
        <v>3.1425000000000001</v>
      </c>
      <c r="J1377" s="134"/>
      <c r="K1377" s="133"/>
      <c r="L1377" s="35"/>
      <c r="M1377" s="134"/>
      <c r="N1377" s="117"/>
      <c r="O1377" s="368"/>
    </row>
    <row r="1378" spans="1:15" s="369" customFormat="1" ht="11.25" x14ac:dyDescent="0.25">
      <c r="A1378" s="362"/>
      <c r="B1378" s="363"/>
      <c r="C1378" s="364"/>
      <c r="D1378" s="365" t="s">
        <v>207</v>
      </c>
      <c r="E1378" s="366" t="s">
        <v>229</v>
      </c>
      <c r="F1378" s="367">
        <v>0.25</v>
      </c>
      <c r="G1378" s="35">
        <v>8.92</v>
      </c>
      <c r="H1378" s="133"/>
      <c r="I1378" s="35">
        <f>F1378*G1378</f>
        <v>2.23</v>
      </c>
      <c r="J1378" s="134"/>
      <c r="K1378" s="133"/>
      <c r="L1378" s="35"/>
      <c r="M1378" s="134"/>
      <c r="N1378" s="115"/>
      <c r="O1378" s="358"/>
    </row>
    <row r="1379" spans="1:15" s="369" customFormat="1" ht="11.25" x14ac:dyDescent="0.25">
      <c r="A1379" s="362"/>
      <c r="B1379" s="363"/>
      <c r="C1379" s="364"/>
      <c r="D1379" s="365"/>
      <c r="E1379" s="366"/>
      <c r="F1379" s="367"/>
      <c r="G1379" s="35"/>
      <c r="H1379" s="133"/>
      <c r="I1379" s="35"/>
      <c r="J1379" s="134"/>
      <c r="K1379" s="133"/>
      <c r="L1379" s="35"/>
      <c r="M1379" s="134"/>
      <c r="N1379" s="115"/>
      <c r="O1379" s="573"/>
    </row>
    <row r="1380" spans="1:15" s="25" customFormat="1" ht="33.75" x14ac:dyDescent="0.2">
      <c r="A1380" s="581"/>
      <c r="B1380" s="582" t="s">
        <v>890</v>
      </c>
      <c r="C1380" s="583" t="s">
        <v>978</v>
      </c>
      <c r="D1380" s="584" t="s">
        <v>893</v>
      </c>
      <c r="E1380" s="583" t="s">
        <v>227</v>
      </c>
      <c r="F1380" s="585">
        <v>1</v>
      </c>
      <c r="G1380" s="586"/>
      <c r="H1380" s="588">
        <f>ROUND(SUM(H1381:H1382),2)</f>
        <v>0</v>
      </c>
      <c r="I1380" s="588">
        <f>ROUND(SUM(I1381:I1382),2)</f>
        <v>85.96</v>
      </c>
      <c r="J1380" s="589">
        <f>H1380+I1380</f>
        <v>85.96</v>
      </c>
      <c r="K1380" s="587">
        <f>H1380*F1380</f>
        <v>0</v>
      </c>
      <c r="L1380" s="588">
        <f>I1380*F1380</f>
        <v>85.96</v>
      </c>
      <c r="M1380" s="589">
        <f>K1380+L1380</f>
        <v>85.96</v>
      </c>
      <c r="N1380" s="585">
        <f>M1380*$N$7</f>
        <v>21.111775999999999</v>
      </c>
      <c r="O1380" s="585">
        <f>ROUND(M1380+N1380,2)</f>
        <v>107.07</v>
      </c>
    </row>
    <row r="1381" spans="1:15" s="369" customFormat="1" ht="11.25" x14ac:dyDescent="0.25">
      <c r="A1381" s="362"/>
      <c r="B1381" s="363"/>
      <c r="C1381" s="364"/>
      <c r="D1381" s="365" t="s">
        <v>577</v>
      </c>
      <c r="E1381" s="366" t="s">
        <v>229</v>
      </c>
      <c r="F1381" s="367">
        <v>4</v>
      </c>
      <c r="G1381" s="35">
        <v>12.57</v>
      </c>
      <c r="H1381" s="133"/>
      <c r="I1381" s="35">
        <f>F1381*G1381</f>
        <v>50.28</v>
      </c>
      <c r="J1381" s="134"/>
      <c r="K1381" s="133"/>
      <c r="L1381" s="35"/>
      <c r="M1381" s="134"/>
      <c r="N1381" s="117"/>
      <c r="O1381" s="368"/>
    </row>
    <row r="1382" spans="1:15" s="369" customFormat="1" ht="11.25" x14ac:dyDescent="0.25">
      <c r="A1382" s="362"/>
      <c r="B1382" s="363"/>
      <c r="C1382" s="364"/>
      <c r="D1382" s="365" t="s">
        <v>207</v>
      </c>
      <c r="E1382" s="366" t="s">
        <v>229</v>
      </c>
      <c r="F1382" s="367">
        <v>4</v>
      </c>
      <c r="G1382" s="35">
        <v>8.92</v>
      </c>
      <c r="H1382" s="133"/>
      <c r="I1382" s="35">
        <f>F1382*G1382</f>
        <v>35.68</v>
      </c>
      <c r="J1382" s="134"/>
      <c r="K1382" s="133"/>
      <c r="L1382" s="35"/>
      <c r="M1382" s="134"/>
      <c r="N1382" s="115"/>
      <c r="O1382" s="358"/>
    </row>
    <row r="1383" spans="1:15" s="369" customFormat="1" ht="11.25" x14ac:dyDescent="0.25">
      <c r="A1383" s="362"/>
      <c r="B1383" s="363"/>
      <c r="C1383" s="364"/>
      <c r="D1383" s="365"/>
      <c r="E1383" s="366"/>
      <c r="F1383" s="367"/>
      <c r="G1383" s="35"/>
      <c r="H1383" s="133"/>
      <c r="I1383" s="35"/>
      <c r="J1383" s="134"/>
      <c r="K1383" s="133"/>
      <c r="L1383" s="35"/>
      <c r="M1383" s="134"/>
      <c r="N1383" s="115"/>
      <c r="O1383" s="573"/>
    </row>
    <row r="1384" spans="1:15" s="25" customFormat="1" ht="22.5" x14ac:dyDescent="0.2">
      <c r="A1384" s="581"/>
      <c r="B1384" s="582" t="s">
        <v>890</v>
      </c>
      <c r="C1384" s="583" t="s">
        <v>979</v>
      </c>
      <c r="D1384" s="584" t="s">
        <v>894</v>
      </c>
      <c r="E1384" s="583" t="s">
        <v>248</v>
      </c>
      <c r="F1384" s="585">
        <v>10</v>
      </c>
      <c r="G1384" s="586"/>
      <c r="H1384" s="588">
        <f>ROUND(SUM(H1385:H1386),2)</f>
        <v>0</v>
      </c>
      <c r="I1384" s="588">
        <f>ROUND(SUM(I1385:I1386),2)</f>
        <v>10.75</v>
      </c>
      <c r="J1384" s="589">
        <f>H1384+I1384</f>
        <v>10.75</v>
      </c>
      <c r="K1384" s="587">
        <f>H1384*F1384</f>
        <v>0</v>
      </c>
      <c r="L1384" s="588">
        <f>I1384*F1384</f>
        <v>107.5</v>
      </c>
      <c r="M1384" s="589">
        <f>K1384+L1384</f>
        <v>107.5</v>
      </c>
      <c r="N1384" s="585">
        <f>M1384*$N$7</f>
        <v>26.402000000000001</v>
      </c>
      <c r="O1384" s="585">
        <f>ROUND(M1384+N1384,2)</f>
        <v>133.9</v>
      </c>
    </row>
    <row r="1385" spans="1:15" s="369" customFormat="1" ht="11.25" x14ac:dyDescent="0.25">
      <c r="A1385" s="362"/>
      <c r="B1385" s="363"/>
      <c r="C1385" s="364"/>
      <c r="D1385" s="365" t="s">
        <v>577</v>
      </c>
      <c r="E1385" s="366" t="s">
        <v>229</v>
      </c>
      <c r="F1385" s="367">
        <v>0.5</v>
      </c>
      <c r="G1385" s="35">
        <v>12.57</v>
      </c>
      <c r="H1385" s="133"/>
      <c r="I1385" s="35">
        <f>F1385*G1385</f>
        <v>6.2850000000000001</v>
      </c>
      <c r="J1385" s="134"/>
      <c r="K1385" s="133"/>
      <c r="L1385" s="35"/>
      <c r="M1385" s="134"/>
      <c r="N1385" s="117"/>
      <c r="O1385" s="368"/>
    </row>
    <row r="1386" spans="1:15" s="369" customFormat="1" ht="11.25" x14ac:dyDescent="0.25">
      <c r="A1386" s="362"/>
      <c r="B1386" s="363"/>
      <c r="C1386" s="364"/>
      <c r="D1386" s="365" t="s">
        <v>207</v>
      </c>
      <c r="E1386" s="366" t="s">
        <v>229</v>
      </c>
      <c r="F1386" s="367">
        <v>0.5</v>
      </c>
      <c r="G1386" s="35">
        <v>8.92</v>
      </c>
      <c r="H1386" s="133"/>
      <c r="I1386" s="35">
        <f>F1386*G1386</f>
        <v>4.46</v>
      </c>
      <c r="J1386" s="134"/>
      <c r="K1386" s="133"/>
      <c r="L1386" s="35"/>
      <c r="M1386" s="134"/>
      <c r="N1386" s="115"/>
      <c r="O1386" s="358"/>
    </row>
    <row r="1387" spans="1:15" s="369" customFormat="1" ht="11.25" x14ac:dyDescent="0.25">
      <c r="A1387" s="362"/>
      <c r="B1387" s="363"/>
      <c r="C1387" s="364"/>
      <c r="D1387" s="365"/>
      <c r="E1387" s="366"/>
      <c r="F1387" s="367"/>
      <c r="G1387" s="35"/>
      <c r="H1387" s="133"/>
      <c r="I1387" s="35"/>
      <c r="J1387" s="134"/>
      <c r="K1387" s="133"/>
      <c r="L1387" s="35"/>
      <c r="M1387" s="134"/>
      <c r="N1387" s="115"/>
      <c r="O1387" s="573"/>
    </row>
    <row r="1388" spans="1:15" s="355" customFormat="1" ht="15.75" x14ac:dyDescent="0.2">
      <c r="A1388" s="344"/>
      <c r="B1388" s="345"/>
      <c r="C1388" s="346"/>
      <c r="D1388" s="347" t="s">
        <v>888</v>
      </c>
      <c r="E1388" s="348"/>
      <c r="F1388" s="349"/>
      <c r="G1388" s="350"/>
      <c r="H1388" s="351"/>
      <c r="I1388" s="352"/>
      <c r="J1388" s="353"/>
      <c r="K1388" s="351"/>
      <c r="L1388" s="352"/>
      <c r="M1388" s="353"/>
      <c r="N1388" s="354"/>
      <c r="O1388" s="354"/>
    </row>
    <row r="1389" spans="1:15" x14ac:dyDescent="0.25">
      <c r="A1389" s="174"/>
      <c r="B1389" s="158"/>
      <c r="C1389" s="10"/>
      <c r="D1389" s="155" t="s">
        <v>288</v>
      </c>
      <c r="E1389" s="4"/>
      <c r="F1389" s="150"/>
      <c r="G1389" s="5"/>
      <c r="H1389" s="140"/>
      <c r="I1389" s="5"/>
      <c r="J1389" s="141"/>
      <c r="K1389" s="140"/>
      <c r="L1389" s="5"/>
      <c r="M1389" s="141"/>
      <c r="N1389" s="120"/>
      <c r="O1389" s="120"/>
    </row>
    <row r="1390" spans="1:15" s="25" customFormat="1" ht="14.25" x14ac:dyDescent="0.2">
      <c r="A1390" s="581" t="s">
        <v>277</v>
      </c>
      <c r="B1390" s="582" t="s">
        <v>70</v>
      </c>
      <c r="C1390" s="583" t="s">
        <v>980</v>
      </c>
      <c r="D1390" s="584" t="s">
        <v>69</v>
      </c>
      <c r="E1390" s="583" t="s">
        <v>310</v>
      </c>
      <c r="F1390" s="585">
        <f>44</f>
        <v>44</v>
      </c>
      <c r="G1390" s="586"/>
      <c r="H1390" s="587">
        <v>3.73</v>
      </c>
      <c r="I1390" s="588">
        <v>1.06</v>
      </c>
      <c r="J1390" s="589">
        <f>H1390+I1390</f>
        <v>4.79</v>
      </c>
      <c r="K1390" s="587">
        <f>H1390*F1390</f>
        <v>164.12</v>
      </c>
      <c r="L1390" s="588">
        <f>I1390*F1390</f>
        <v>46.64</v>
      </c>
      <c r="M1390" s="589">
        <f>K1390+L1390</f>
        <v>210.76</v>
      </c>
      <c r="N1390" s="585">
        <f>M1390*$N$7</f>
        <v>51.762656</v>
      </c>
      <c r="O1390" s="585">
        <f>ROUND(M1390+N1390,2)</f>
        <v>262.52</v>
      </c>
    </row>
    <row r="1391" spans="1:15" x14ac:dyDescent="0.25">
      <c r="A1391" s="174"/>
      <c r="B1391" s="158"/>
      <c r="C1391" s="10"/>
      <c r="D1391" s="155" t="s">
        <v>288</v>
      </c>
      <c r="E1391" s="4"/>
      <c r="F1391" s="150"/>
      <c r="G1391" s="5"/>
      <c r="H1391" s="140"/>
      <c r="I1391" s="5"/>
      <c r="J1391" s="141"/>
      <c r="K1391" s="140"/>
      <c r="L1391" s="5"/>
      <c r="M1391" s="141"/>
      <c r="N1391" s="120"/>
      <c r="O1391" s="120"/>
    </row>
    <row r="1392" spans="1:15" s="25" customFormat="1" ht="33.75" x14ac:dyDescent="0.2">
      <c r="A1392" s="581" t="s">
        <v>277</v>
      </c>
      <c r="B1392" s="582" t="s">
        <v>67</v>
      </c>
      <c r="C1392" s="583" t="s">
        <v>981</v>
      </c>
      <c r="D1392" s="584" t="s">
        <v>68</v>
      </c>
      <c r="E1392" s="583" t="s">
        <v>310</v>
      </c>
      <c r="F1392" s="585">
        <v>45</v>
      </c>
      <c r="G1392" s="586"/>
      <c r="H1392" s="587">
        <v>17.940000000000001</v>
      </c>
      <c r="I1392" s="588">
        <v>0.47</v>
      </c>
      <c r="J1392" s="589">
        <f>H1392+I1392</f>
        <v>18.41</v>
      </c>
      <c r="K1392" s="587">
        <f>H1392*F1392</f>
        <v>807.30000000000007</v>
      </c>
      <c r="L1392" s="588">
        <f>I1392*F1392</f>
        <v>21.15</v>
      </c>
      <c r="M1392" s="589">
        <f>K1392+L1392</f>
        <v>828.45</v>
      </c>
      <c r="N1392" s="585">
        <f>M1392*$N$7</f>
        <v>203.46732000000003</v>
      </c>
      <c r="O1392" s="585">
        <f>ROUND(M1392+N1392,2)</f>
        <v>1031.92</v>
      </c>
    </row>
    <row r="1393" spans="1:15" x14ac:dyDescent="0.25">
      <c r="A1393" s="174"/>
      <c r="B1393" s="158"/>
      <c r="C1393" s="10"/>
      <c r="D1393" s="155" t="s">
        <v>288</v>
      </c>
      <c r="E1393" s="4"/>
      <c r="F1393" s="150"/>
      <c r="G1393" s="5"/>
      <c r="H1393" s="140"/>
      <c r="I1393" s="5"/>
      <c r="J1393" s="141"/>
      <c r="K1393" s="140"/>
      <c r="L1393" s="5"/>
      <c r="M1393" s="141"/>
      <c r="N1393" s="120"/>
      <c r="O1393" s="120"/>
    </row>
    <row r="1394" spans="1:15" s="25" customFormat="1" ht="14.25" x14ac:dyDescent="0.2">
      <c r="A1394" s="581" t="s">
        <v>277</v>
      </c>
      <c r="B1394" s="582">
        <v>9537</v>
      </c>
      <c r="C1394" s="583" t="s">
        <v>982</v>
      </c>
      <c r="D1394" s="584" t="s">
        <v>778</v>
      </c>
      <c r="E1394" s="583" t="s">
        <v>310</v>
      </c>
      <c r="F1394" s="585">
        <f>D9</f>
        <v>2155.41</v>
      </c>
      <c r="G1394" s="586"/>
      <c r="H1394" s="587">
        <v>0.81</v>
      </c>
      <c r="I1394" s="588">
        <f>1.01*1.27</f>
        <v>1.2827</v>
      </c>
      <c r="J1394" s="589">
        <f>H1394+I1394</f>
        <v>2.0926999999999998</v>
      </c>
      <c r="K1394" s="587">
        <f>H1394*F1394</f>
        <v>1745.8821</v>
      </c>
      <c r="L1394" s="588">
        <f>I1394*F1394</f>
        <v>2764.7444069999997</v>
      </c>
      <c r="M1394" s="589">
        <f>K1394+L1394</f>
        <v>4510.6265069999999</v>
      </c>
      <c r="N1394" s="585">
        <f>M1394*$N$7</f>
        <v>1107.8098701192</v>
      </c>
      <c r="O1394" s="585">
        <f>ROUND(M1394+N1394,2)</f>
        <v>5618.44</v>
      </c>
    </row>
    <row r="1395" spans="1:15" x14ac:dyDescent="0.25">
      <c r="A1395" s="175"/>
      <c r="B1395" s="162"/>
      <c r="C1395" s="170"/>
      <c r="D1395" s="156" t="s">
        <v>288</v>
      </c>
      <c r="E1395" s="171"/>
      <c r="F1395" s="151"/>
      <c r="G1395" s="143"/>
      <c r="H1395" s="142"/>
      <c r="I1395" s="143"/>
      <c r="J1395" s="144"/>
      <c r="K1395" s="142"/>
      <c r="L1395" s="143"/>
      <c r="M1395" s="144"/>
      <c r="N1395" s="121"/>
      <c r="O1395" s="121"/>
    </row>
    <row r="1396" spans="1:15" x14ac:dyDescent="0.25">
      <c r="A1396" s="204"/>
    </row>
    <row r="1397" spans="1:15" x14ac:dyDescent="0.25">
      <c r="A1397" s="204"/>
    </row>
    <row r="1398" spans="1:15" x14ac:dyDescent="0.25">
      <c r="A1398" s="204"/>
    </row>
    <row r="1399" spans="1:15" x14ac:dyDescent="0.25">
      <c r="A1399" s="204"/>
    </row>
    <row r="1400" spans="1:15" x14ac:dyDescent="0.25">
      <c r="A1400" s="204"/>
    </row>
    <row r="1401" spans="1:15" x14ac:dyDescent="0.25">
      <c r="A1401" s="204"/>
    </row>
    <row r="1402" spans="1:15" x14ac:dyDescent="0.25">
      <c r="A1402" s="204"/>
    </row>
    <row r="1403" spans="1:15" x14ac:dyDescent="0.25">
      <c r="A1403" s="204"/>
    </row>
    <row r="1404" spans="1:15" x14ac:dyDescent="0.25">
      <c r="A1404" s="204"/>
    </row>
    <row r="1405" spans="1:15" x14ac:dyDescent="0.25">
      <c r="A1405" s="204"/>
    </row>
    <row r="1406" spans="1:15" x14ac:dyDescent="0.25">
      <c r="A1406" s="204"/>
    </row>
    <row r="1407" spans="1:15" x14ac:dyDescent="0.25">
      <c r="A1407" s="204"/>
    </row>
    <row r="1408" spans="1:15" x14ac:dyDescent="0.25">
      <c r="A1408" s="204"/>
    </row>
    <row r="1409" spans="1:1" x14ac:dyDescent="0.25">
      <c r="A1409" s="204"/>
    </row>
    <row r="1410" spans="1:1" x14ac:dyDescent="0.25">
      <c r="A1410" s="204"/>
    </row>
    <row r="1411" spans="1:1" x14ac:dyDescent="0.25">
      <c r="A1411" s="204"/>
    </row>
    <row r="1412" spans="1:1" x14ac:dyDescent="0.25">
      <c r="A1412" s="204"/>
    </row>
    <row r="1413" spans="1:1" x14ac:dyDescent="0.25">
      <c r="A1413" s="204"/>
    </row>
    <row r="1414" spans="1:1" x14ac:dyDescent="0.25">
      <c r="A1414" s="204"/>
    </row>
    <row r="1415" spans="1:1" x14ac:dyDescent="0.25">
      <c r="A1415" s="204"/>
    </row>
    <row r="1416" spans="1:1" x14ac:dyDescent="0.25">
      <c r="A1416" s="204"/>
    </row>
    <row r="1417" spans="1:1" x14ac:dyDescent="0.25">
      <c r="A1417" s="204"/>
    </row>
    <row r="1418" spans="1:1" x14ac:dyDescent="0.25">
      <c r="A1418" s="204"/>
    </row>
    <row r="1419" spans="1:1" x14ac:dyDescent="0.25">
      <c r="A1419" s="204"/>
    </row>
    <row r="1420" spans="1:1" x14ac:dyDescent="0.25">
      <c r="A1420" s="204"/>
    </row>
    <row r="1421" spans="1:1" x14ac:dyDescent="0.25">
      <c r="A1421" s="204"/>
    </row>
    <row r="1422" spans="1:1" x14ac:dyDescent="0.25">
      <c r="A1422" s="204"/>
    </row>
    <row r="1423" spans="1:1" x14ac:dyDescent="0.25">
      <c r="A1423" s="204"/>
    </row>
    <row r="1424" spans="1:1" x14ac:dyDescent="0.25">
      <c r="A1424" s="204"/>
    </row>
    <row r="1425" spans="1:1" x14ac:dyDescent="0.25">
      <c r="A1425" s="204"/>
    </row>
    <row r="1426" spans="1:1" x14ac:dyDescent="0.25">
      <c r="A1426" s="204"/>
    </row>
    <row r="1427" spans="1:1" x14ac:dyDescent="0.25">
      <c r="A1427" s="204"/>
    </row>
    <row r="1428" spans="1:1" x14ac:dyDescent="0.25">
      <c r="A1428" s="204"/>
    </row>
    <row r="1429" spans="1:1" x14ac:dyDescent="0.25">
      <c r="A1429" s="204"/>
    </row>
    <row r="1430" spans="1:1" x14ac:dyDescent="0.25">
      <c r="A1430" s="204"/>
    </row>
    <row r="1431" spans="1:1" x14ac:dyDescent="0.25">
      <c r="A1431" s="204"/>
    </row>
    <row r="1432" spans="1:1" x14ac:dyDescent="0.25">
      <c r="A1432" s="204"/>
    </row>
    <row r="1433" spans="1:1" x14ac:dyDescent="0.25">
      <c r="A1433" s="204"/>
    </row>
    <row r="1434" spans="1:1" x14ac:dyDescent="0.25">
      <c r="A1434" s="204"/>
    </row>
    <row r="1435" spans="1:1" x14ac:dyDescent="0.25">
      <c r="A1435" s="204"/>
    </row>
    <row r="1436" spans="1:1" x14ac:dyDescent="0.25">
      <c r="A1436" s="204"/>
    </row>
    <row r="1437" spans="1:1" x14ac:dyDescent="0.25">
      <c r="A1437" s="204"/>
    </row>
    <row r="1438" spans="1:1" x14ac:dyDescent="0.25">
      <c r="A1438" s="204"/>
    </row>
    <row r="1439" spans="1:1" x14ac:dyDescent="0.25">
      <c r="A1439" s="204"/>
    </row>
    <row r="1440" spans="1:1" x14ac:dyDescent="0.25">
      <c r="A1440" s="204"/>
    </row>
    <row r="1441" spans="1:1" x14ac:dyDescent="0.25">
      <c r="A1441" s="204"/>
    </row>
    <row r="1442" spans="1:1" x14ac:dyDescent="0.25">
      <c r="A1442" s="204"/>
    </row>
    <row r="1443" spans="1:1" x14ac:dyDescent="0.25">
      <c r="A1443" s="204"/>
    </row>
    <row r="1444" spans="1:1" x14ac:dyDescent="0.25">
      <c r="A1444" s="204"/>
    </row>
    <row r="1445" spans="1:1" x14ac:dyDescent="0.25">
      <c r="A1445" s="204"/>
    </row>
    <row r="1446" spans="1:1" x14ac:dyDescent="0.25">
      <c r="A1446" s="204"/>
    </row>
    <row r="1447" spans="1:1" x14ac:dyDescent="0.25">
      <c r="A1447" s="204"/>
    </row>
    <row r="1448" spans="1:1" x14ac:dyDescent="0.25">
      <c r="A1448" s="204"/>
    </row>
    <row r="1449" spans="1:1" x14ac:dyDescent="0.25">
      <c r="A1449" s="204"/>
    </row>
    <row r="1450" spans="1:1" x14ac:dyDescent="0.25">
      <c r="A1450" s="204"/>
    </row>
    <row r="1451" spans="1:1" x14ac:dyDescent="0.25">
      <c r="A1451" s="204"/>
    </row>
    <row r="1452" spans="1:1" x14ac:dyDescent="0.25">
      <c r="A1452" s="204"/>
    </row>
    <row r="1453" spans="1:1" x14ac:dyDescent="0.25">
      <c r="A1453" s="204"/>
    </row>
    <row r="1454" spans="1:1" x14ac:dyDescent="0.25">
      <c r="A1454" s="204"/>
    </row>
    <row r="1455" spans="1:1" x14ac:dyDescent="0.25">
      <c r="A1455" s="204"/>
    </row>
    <row r="1456" spans="1:1" x14ac:dyDescent="0.25">
      <c r="A1456" s="204"/>
    </row>
    <row r="1457" spans="1:1" x14ac:dyDescent="0.25">
      <c r="A1457" s="204"/>
    </row>
    <row r="1458" spans="1:1" x14ac:dyDescent="0.25">
      <c r="A1458" s="204"/>
    </row>
    <row r="1459" spans="1:1" x14ac:dyDescent="0.25">
      <c r="A1459" s="204"/>
    </row>
    <row r="1460" spans="1:1" x14ac:dyDescent="0.25">
      <c r="A1460" s="204"/>
    </row>
    <row r="1461" spans="1:1" x14ac:dyDescent="0.25">
      <c r="A1461" s="204"/>
    </row>
    <row r="1462" spans="1:1" x14ac:dyDescent="0.25">
      <c r="A1462" s="204"/>
    </row>
    <row r="1463" spans="1:1" x14ac:dyDescent="0.25">
      <c r="A1463" s="204"/>
    </row>
    <row r="1464" spans="1:1" x14ac:dyDescent="0.25">
      <c r="A1464" s="204"/>
    </row>
    <row r="1465" spans="1:1" x14ac:dyDescent="0.25">
      <c r="A1465" s="204"/>
    </row>
    <row r="1466" spans="1:1" x14ac:dyDescent="0.25">
      <c r="A1466" s="204"/>
    </row>
    <row r="1467" spans="1:1" x14ac:dyDescent="0.25">
      <c r="A1467" s="204"/>
    </row>
    <row r="1468" spans="1:1" x14ac:dyDescent="0.25">
      <c r="A1468" s="204"/>
    </row>
    <row r="1469" spans="1:1" x14ac:dyDescent="0.25">
      <c r="A1469" s="204"/>
    </row>
    <row r="1470" spans="1:1" x14ac:dyDescent="0.25">
      <c r="A1470" s="204"/>
    </row>
    <row r="1471" spans="1:1" x14ac:dyDescent="0.25">
      <c r="A1471" s="204"/>
    </row>
    <row r="1472" spans="1:1" x14ac:dyDescent="0.25">
      <c r="A1472" s="204"/>
    </row>
    <row r="1473" spans="1:1" x14ac:dyDescent="0.25">
      <c r="A1473" s="204"/>
    </row>
    <row r="1474" spans="1:1" x14ac:dyDescent="0.25">
      <c r="A1474" s="204"/>
    </row>
    <row r="1475" spans="1:1" x14ac:dyDescent="0.25">
      <c r="A1475" s="204"/>
    </row>
    <row r="1476" spans="1:1" x14ac:dyDescent="0.25">
      <c r="A1476" s="204"/>
    </row>
    <row r="1477" spans="1:1" x14ac:dyDescent="0.25">
      <c r="A1477" s="204"/>
    </row>
    <row r="1478" spans="1:1" x14ac:dyDescent="0.25">
      <c r="A1478" s="204"/>
    </row>
    <row r="1479" spans="1:1" x14ac:dyDescent="0.25">
      <c r="A1479" s="204"/>
    </row>
    <row r="1480" spans="1:1" x14ac:dyDescent="0.25">
      <c r="A1480" s="204"/>
    </row>
    <row r="1481" spans="1:1" x14ac:dyDescent="0.25">
      <c r="A1481" s="204"/>
    </row>
    <row r="1482" spans="1:1" x14ac:dyDescent="0.25">
      <c r="A1482" s="204"/>
    </row>
    <row r="1483" spans="1:1" x14ac:dyDescent="0.25">
      <c r="A1483" s="204"/>
    </row>
    <row r="1484" spans="1:1" x14ac:dyDescent="0.25">
      <c r="A1484" s="204"/>
    </row>
    <row r="1485" spans="1:1" x14ac:dyDescent="0.25">
      <c r="A1485" s="204"/>
    </row>
    <row r="1486" spans="1:1" x14ac:dyDescent="0.25">
      <c r="A1486" s="204"/>
    </row>
    <row r="1487" spans="1:1" x14ac:dyDescent="0.25">
      <c r="A1487" s="204"/>
    </row>
    <row r="1488" spans="1:1" x14ac:dyDescent="0.25">
      <c r="A1488" s="204"/>
    </row>
    <row r="1489" spans="1:1" x14ac:dyDescent="0.25">
      <c r="A1489" s="204"/>
    </row>
    <row r="1490" spans="1:1" x14ac:dyDescent="0.25">
      <c r="A1490" s="204"/>
    </row>
    <row r="1491" spans="1:1" x14ac:dyDescent="0.25">
      <c r="A1491" s="204"/>
    </row>
    <row r="1492" spans="1:1" x14ac:dyDescent="0.25">
      <c r="A1492" s="204"/>
    </row>
    <row r="1493" spans="1:1" x14ac:dyDescent="0.25">
      <c r="A1493" s="204"/>
    </row>
    <row r="1494" spans="1:1" x14ac:dyDescent="0.25">
      <c r="A1494" s="204"/>
    </row>
    <row r="1495" spans="1:1" x14ac:dyDescent="0.25">
      <c r="A1495" s="204"/>
    </row>
    <row r="1496" spans="1:1" x14ac:dyDescent="0.25">
      <c r="A1496" s="204"/>
    </row>
    <row r="1497" spans="1:1" x14ac:dyDescent="0.25">
      <c r="A1497" s="204"/>
    </row>
    <row r="1498" spans="1:1" x14ac:dyDescent="0.25">
      <c r="A1498" s="204"/>
    </row>
    <row r="1499" spans="1:1" x14ac:dyDescent="0.25">
      <c r="A1499" s="204"/>
    </row>
    <row r="1500" spans="1:1" x14ac:dyDescent="0.25">
      <c r="A1500" s="204"/>
    </row>
    <row r="1501" spans="1:1" x14ac:dyDescent="0.25">
      <c r="A1501" s="204"/>
    </row>
    <row r="1502" spans="1:1" x14ac:dyDescent="0.25">
      <c r="A1502" s="204"/>
    </row>
    <row r="1503" spans="1:1" x14ac:dyDescent="0.25">
      <c r="A1503" s="204"/>
    </row>
    <row r="1504" spans="1:1" x14ac:dyDescent="0.25">
      <c r="A1504" s="204"/>
    </row>
    <row r="1505" spans="1:1" x14ac:dyDescent="0.25">
      <c r="A1505" s="204"/>
    </row>
    <row r="1506" spans="1:1" x14ac:dyDescent="0.25">
      <c r="A1506" s="204"/>
    </row>
    <row r="1507" spans="1:1" x14ac:dyDescent="0.25">
      <c r="A1507" s="204"/>
    </row>
    <row r="1508" spans="1:1" x14ac:dyDescent="0.25">
      <c r="A1508" s="204"/>
    </row>
    <row r="1509" spans="1:1" x14ac:dyDescent="0.25">
      <c r="A1509" s="204"/>
    </row>
    <row r="1510" spans="1:1" x14ac:dyDescent="0.25">
      <c r="A1510" s="204"/>
    </row>
    <row r="1511" spans="1:1" x14ac:dyDescent="0.25">
      <c r="A1511" s="204"/>
    </row>
    <row r="1512" spans="1:1" x14ac:dyDescent="0.25">
      <c r="A1512" s="204"/>
    </row>
    <row r="1513" spans="1:1" x14ac:dyDescent="0.25">
      <c r="A1513" s="204"/>
    </row>
    <row r="1514" spans="1:1" x14ac:dyDescent="0.25">
      <c r="A1514" s="204"/>
    </row>
    <row r="1515" spans="1:1" x14ac:dyDescent="0.25">
      <c r="A1515" s="204"/>
    </row>
    <row r="1516" spans="1:1" x14ac:dyDescent="0.25">
      <c r="A1516" s="204"/>
    </row>
    <row r="1517" spans="1:1" x14ac:dyDescent="0.25">
      <c r="A1517" s="204"/>
    </row>
    <row r="1518" spans="1:1" x14ac:dyDescent="0.25">
      <c r="A1518" s="204"/>
    </row>
    <row r="1519" spans="1:1" x14ac:dyDescent="0.25">
      <c r="A1519" s="204"/>
    </row>
    <row r="1520" spans="1:1" x14ac:dyDescent="0.25">
      <c r="A1520" s="204"/>
    </row>
    <row r="1521" spans="1:1" x14ac:dyDescent="0.25">
      <c r="A1521" s="204"/>
    </row>
    <row r="1522" spans="1:1" x14ac:dyDescent="0.25">
      <c r="A1522" s="204"/>
    </row>
    <row r="1523" spans="1:1" x14ac:dyDescent="0.25">
      <c r="A1523" s="204"/>
    </row>
    <row r="1524" spans="1:1" x14ac:dyDescent="0.25">
      <c r="A1524" s="204"/>
    </row>
    <row r="1525" spans="1:1" x14ac:dyDescent="0.25">
      <c r="A1525" s="204"/>
    </row>
    <row r="1526" spans="1:1" x14ac:dyDescent="0.25">
      <c r="A1526" s="204"/>
    </row>
    <row r="1527" spans="1:1" x14ac:dyDescent="0.25">
      <c r="A1527" s="204"/>
    </row>
    <row r="1528" spans="1:1" x14ac:dyDescent="0.25">
      <c r="A1528" s="204"/>
    </row>
    <row r="1529" spans="1:1" x14ac:dyDescent="0.25">
      <c r="A1529" s="204"/>
    </row>
    <row r="1530" spans="1:1" x14ac:dyDescent="0.25">
      <c r="A1530" s="204"/>
    </row>
    <row r="1531" spans="1:1" x14ac:dyDescent="0.25">
      <c r="A1531" s="204"/>
    </row>
    <row r="1532" spans="1:1" x14ac:dyDescent="0.25">
      <c r="A1532" s="204"/>
    </row>
    <row r="1533" spans="1:1" x14ac:dyDescent="0.25">
      <c r="A1533" s="204"/>
    </row>
    <row r="1534" spans="1:1" x14ac:dyDescent="0.25">
      <c r="A1534" s="204"/>
    </row>
    <row r="1535" spans="1:1" x14ac:dyDescent="0.25">
      <c r="A1535" s="204"/>
    </row>
    <row r="1536" spans="1:1" x14ac:dyDescent="0.25">
      <c r="A1536" s="204"/>
    </row>
    <row r="1537" spans="1:1" x14ac:dyDescent="0.25">
      <c r="A1537" s="204"/>
    </row>
    <row r="1538" spans="1:1" x14ac:dyDescent="0.25">
      <c r="A1538" s="204"/>
    </row>
    <row r="1539" spans="1:1" x14ac:dyDescent="0.25">
      <c r="A1539" s="204"/>
    </row>
    <row r="1540" spans="1:1" x14ac:dyDescent="0.25">
      <c r="A1540" s="204"/>
    </row>
    <row r="1541" spans="1:1" x14ac:dyDescent="0.25">
      <c r="A1541" s="204"/>
    </row>
    <row r="1542" spans="1:1" x14ac:dyDescent="0.25">
      <c r="A1542" s="204"/>
    </row>
    <row r="1543" spans="1:1" x14ac:dyDescent="0.25">
      <c r="A1543" s="204"/>
    </row>
    <row r="1544" spans="1:1" x14ac:dyDescent="0.25">
      <c r="A1544" s="204"/>
    </row>
    <row r="1545" spans="1:1" x14ac:dyDescent="0.25">
      <c r="A1545" s="204"/>
    </row>
    <row r="1546" spans="1:1" x14ac:dyDescent="0.25">
      <c r="A1546" s="204"/>
    </row>
    <row r="1547" spans="1:1" x14ac:dyDescent="0.25">
      <c r="A1547" s="204"/>
    </row>
    <row r="1548" spans="1:1" x14ac:dyDescent="0.25">
      <c r="A1548" s="204"/>
    </row>
    <row r="1549" spans="1:1" x14ac:dyDescent="0.25">
      <c r="A1549" s="204"/>
    </row>
    <row r="1550" spans="1:1" x14ac:dyDescent="0.25">
      <c r="A1550" s="204"/>
    </row>
    <row r="1551" spans="1:1" x14ac:dyDescent="0.25">
      <c r="A1551" s="204"/>
    </row>
    <row r="1552" spans="1:1" x14ac:dyDescent="0.25">
      <c r="A1552" s="204"/>
    </row>
    <row r="1553" spans="1:1" x14ac:dyDescent="0.25">
      <c r="A1553" s="204"/>
    </row>
    <row r="1554" spans="1:1" x14ac:dyDescent="0.25">
      <c r="A1554" s="204"/>
    </row>
    <row r="1555" spans="1:1" x14ac:dyDescent="0.25">
      <c r="A1555" s="204"/>
    </row>
    <row r="1556" spans="1:1" x14ac:dyDescent="0.25">
      <c r="A1556" s="204"/>
    </row>
    <row r="1557" spans="1:1" x14ac:dyDescent="0.25">
      <c r="A1557" s="204"/>
    </row>
    <row r="1558" spans="1:1" x14ac:dyDescent="0.25">
      <c r="A1558" s="204"/>
    </row>
    <row r="1559" spans="1:1" x14ac:dyDescent="0.25">
      <c r="A1559" s="204"/>
    </row>
    <row r="1560" spans="1:1" x14ac:dyDescent="0.25">
      <c r="A1560" s="204"/>
    </row>
    <row r="1561" spans="1:1" x14ac:dyDescent="0.25">
      <c r="A1561" s="204"/>
    </row>
    <row r="1562" spans="1:1" x14ac:dyDescent="0.25">
      <c r="A1562" s="204"/>
    </row>
    <row r="1563" spans="1:1" x14ac:dyDescent="0.25">
      <c r="A1563" s="204"/>
    </row>
    <row r="1564" spans="1:1" x14ac:dyDescent="0.25">
      <c r="A1564" s="204"/>
    </row>
    <row r="1565" spans="1:1" x14ac:dyDescent="0.25">
      <c r="A1565" s="204"/>
    </row>
    <row r="1566" spans="1:1" x14ac:dyDescent="0.25">
      <c r="A1566" s="204"/>
    </row>
    <row r="1567" spans="1:1" x14ac:dyDescent="0.25">
      <c r="A1567" s="204"/>
    </row>
    <row r="1568" spans="1:1" x14ac:dyDescent="0.25">
      <c r="A1568" s="204"/>
    </row>
    <row r="1569" spans="1:1" x14ac:dyDescent="0.25">
      <c r="A1569" s="204"/>
    </row>
    <row r="1570" spans="1:1" x14ac:dyDescent="0.25">
      <c r="A1570" s="204"/>
    </row>
    <row r="1571" spans="1:1" x14ac:dyDescent="0.25">
      <c r="A1571" s="204"/>
    </row>
    <row r="1572" spans="1:1" x14ac:dyDescent="0.25">
      <c r="A1572" s="204"/>
    </row>
    <row r="1573" spans="1:1" x14ac:dyDescent="0.25">
      <c r="A1573" s="204"/>
    </row>
    <row r="1574" spans="1:1" x14ac:dyDescent="0.25">
      <c r="A1574" s="204"/>
    </row>
    <row r="1575" spans="1:1" x14ac:dyDescent="0.25">
      <c r="A1575" s="204"/>
    </row>
    <row r="1576" spans="1:1" x14ac:dyDescent="0.25">
      <c r="A1576" s="204"/>
    </row>
    <row r="1577" spans="1:1" x14ac:dyDescent="0.25">
      <c r="A1577" s="204"/>
    </row>
    <row r="1578" spans="1:1" x14ac:dyDescent="0.25">
      <c r="A1578" s="204"/>
    </row>
    <row r="1579" spans="1:1" x14ac:dyDescent="0.25">
      <c r="A1579" s="204"/>
    </row>
    <row r="1580" spans="1:1" x14ac:dyDescent="0.25">
      <c r="A1580" s="204"/>
    </row>
    <row r="1581" spans="1:1" x14ac:dyDescent="0.25">
      <c r="A1581" s="204"/>
    </row>
    <row r="1582" spans="1:1" x14ac:dyDescent="0.25">
      <c r="A1582" s="204"/>
    </row>
    <row r="1583" spans="1:1" x14ac:dyDescent="0.25">
      <c r="A1583" s="204"/>
    </row>
    <row r="1584" spans="1:1" x14ac:dyDescent="0.25">
      <c r="A1584" s="204"/>
    </row>
    <row r="1585" spans="1:1" x14ac:dyDescent="0.25">
      <c r="A1585" s="204"/>
    </row>
    <row r="1586" spans="1:1" x14ac:dyDescent="0.25">
      <c r="A1586" s="204"/>
    </row>
    <row r="1587" spans="1:1" x14ac:dyDescent="0.25">
      <c r="A1587" s="204"/>
    </row>
    <row r="1588" spans="1:1" x14ac:dyDescent="0.25">
      <c r="A1588" s="204"/>
    </row>
    <row r="1589" spans="1:1" x14ac:dyDescent="0.25">
      <c r="A1589" s="204"/>
    </row>
    <row r="1590" spans="1:1" x14ac:dyDescent="0.25">
      <c r="A1590" s="204"/>
    </row>
    <row r="1591" spans="1:1" x14ac:dyDescent="0.25">
      <c r="A1591" s="204"/>
    </row>
    <row r="1592" spans="1:1" x14ac:dyDescent="0.25">
      <c r="A1592" s="204"/>
    </row>
    <row r="1593" spans="1:1" x14ac:dyDescent="0.25">
      <c r="A1593" s="204"/>
    </row>
    <row r="1594" spans="1:1" x14ac:dyDescent="0.25">
      <c r="A1594" s="204"/>
    </row>
    <row r="1595" spans="1:1" x14ac:dyDescent="0.25">
      <c r="A1595" s="204"/>
    </row>
    <row r="1596" spans="1:1" x14ac:dyDescent="0.25">
      <c r="A1596" s="204"/>
    </row>
    <row r="1597" spans="1:1" x14ac:dyDescent="0.25">
      <c r="A1597" s="204"/>
    </row>
    <row r="1598" spans="1:1" x14ac:dyDescent="0.25">
      <c r="A1598" s="204"/>
    </row>
    <row r="1599" spans="1:1" x14ac:dyDescent="0.25">
      <c r="A1599" s="204"/>
    </row>
    <row r="1600" spans="1:1" x14ac:dyDescent="0.25">
      <c r="A1600" s="204"/>
    </row>
    <row r="1601" spans="1:1" x14ac:dyDescent="0.25">
      <c r="A1601" s="204"/>
    </row>
    <row r="1602" spans="1:1" x14ac:dyDescent="0.25">
      <c r="A1602" s="204"/>
    </row>
    <row r="1603" spans="1:1" x14ac:dyDescent="0.25">
      <c r="A1603" s="204"/>
    </row>
    <row r="1604" spans="1:1" x14ac:dyDescent="0.25">
      <c r="A1604" s="204"/>
    </row>
    <row r="1605" spans="1:1" x14ac:dyDescent="0.25">
      <c r="A1605" s="204"/>
    </row>
    <row r="1606" spans="1:1" x14ac:dyDescent="0.25">
      <c r="A1606" s="204"/>
    </row>
    <row r="1607" spans="1:1" x14ac:dyDescent="0.25">
      <c r="A1607" s="204"/>
    </row>
    <row r="1608" spans="1:1" x14ac:dyDescent="0.25">
      <c r="A1608" s="204"/>
    </row>
    <row r="1609" spans="1:1" x14ac:dyDescent="0.25">
      <c r="A1609" s="204"/>
    </row>
    <row r="1610" spans="1:1" x14ac:dyDescent="0.25">
      <c r="A1610" s="204"/>
    </row>
    <row r="1611" spans="1:1" x14ac:dyDescent="0.25">
      <c r="A1611" s="204"/>
    </row>
    <row r="1612" spans="1:1" x14ac:dyDescent="0.25">
      <c r="A1612" s="204"/>
    </row>
    <row r="1613" spans="1:1" x14ac:dyDescent="0.25">
      <c r="A1613" s="204"/>
    </row>
    <row r="1614" spans="1:1" x14ac:dyDescent="0.25">
      <c r="A1614" s="204"/>
    </row>
    <row r="1615" spans="1:1" x14ac:dyDescent="0.25">
      <c r="A1615" s="204"/>
    </row>
    <row r="1616" spans="1:1" x14ac:dyDescent="0.25">
      <c r="A1616" s="204"/>
    </row>
    <row r="1617" spans="1:1" x14ac:dyDescent="0.25">
      <c r="A1617" s="204"/>
    </row>
    <row r="1618" spans="1:1" x14ac:dyDescent="0.25">
      <c r="A1618" s="204"/>
    </row>
    <row r="1619" spans="1:1" x14ac:dyDescent="0.25">
      <c r="A1619" s="204"/>
    </row>
    <row r="1620" spans="1:1" x14ac:dyDescent="0.25">
      <c r="A1620" s="204"/>
    </row>
    <row r="1621" spans="1:1" x14ac:dyDescent="0.25">
      <c r="A1621" s="204"/>
    </row>
    <row r="1622" spans="1:1" x14ac:dyDescent="0.25">
      <c r="A1622" s="204"/>
    </row>
    <row r="1623" spans="1:1" x14ac:dyDescent="0.25">
      <c r="A1623" s="204"/>
    </row>
    <row r="1624" spans="1:1" x14ac:dyDescent="0.25">
      <c r="A1624" s="204"/>
    </row>
    <row r="1625" spans="1:1" x14ac:dyDescent="0.25">
      <c r="A1625" s="204"/>
    </row>
    <row r="1626" spans="1:1" x14ac:dyDescent="0.25">
      <c r="A1626" s="204"/>
    </row>
    <row r="1627" spans="1:1" x14ac:dyDescent="0.25">
      <c r="A1627" s="204"/>
    </row>
    <row r="1628" spans="1:1" x14ac:dyDescent="0.25">
      <c r="A1628" s="204"/>
    </row>
    <row r="1629" spans="1:1" x14ac:dyDescent="0.25">
      <c r="A1629" s="204"/>
    </row>
    <row r="1630" spans="1:1" x14ac:dyDescent="0.25">
      <c r="A1630" s="204"/>
    </row>
    <row r="1631" spans="1:1" x14ac:dyDescent="0.25">
      <c r="A1631" s="204"/>
    </row>
    <row r="1632" spans="1:1" x14ac:dyDescent="0.25">
      <c r="A1632" s="204"/>
    </row>
    <row r="1633" spans="1:1" x14ac:dyDescent="0.25">
      <c r="A1633" s="204"/>
    </row>
    <row r="1634" spans="1:1" x14ac:dyDescent="0.25">
      <c r="A1634" s="204"/>
    </row>
    <row r="1635" spans="1:1" x14ac:dyDescent="0.25">
      <c r="A1635" s="204"/>
    </row>
    <row r="1636" spans="1:1" x14ac:dyDescent="0.25">
      <c r="A1636" s="204"/>
    </row>
  </sheetData>
  <customSheetViews>
    <customSheetView guid="{A9E6D264-7B9C-4375-A0CF-466470785BB4}" showPageBreaks="1" printArea="1" view="pageBreakPreview">
      <pane ySplit="9" topLeftCell="A10" activePane="bottomLeft" state="frozen"/>
      <selection pane="bottomLeft" activeCell="H11" sqref="H11:J11"/>
      <pageMargins left="0.23622047244094491" right="0.23622047244094491" top="0.74803149606299213" bottom="0.74803149606299213" header="0.31496062992125984" footer="0.31496062992125984"/>
      <pageSetup paperSize="9" scale="51" orientation="landscape" r:id="rId1"/>
    </customSheetView>
    <customSheetView guid="{DD765DCE-E655-456A-9D24-4450FE20736A}" showPageBreaks="1" printArea="1" view="pageBreakPreview">
      <pane ySplit="9" topLeftCell="A499" activePane="bottomLeft" state="frozen"/>
      <selection pane="bottomLeft" activeCell="D6" sqref="D1:P65536"/>
      <pageMargins left="0.23622047244094491" right="0.23622047244094491" top="0.74803149606299213" bottom="0.74803149606299213" header="0.31496062992125984" footer="0.31496062992125984"/>
      <pageSetup paperSize="9" scale="51" orientation="landscape" r:id="rId2"/>
    </customSheetView>
    <customSheetView guid="{085E57EC-FCE4-472B-96BD-85A48C0D7EC5}" showPageBreaks="1" printArea="1" view="pageBreakPreview" showRuler="0">
      <pane ySplit="9" topLeftCell="A688" activePane="bottomLeft" state="frozen"/>
      <selection pane="bottomLeft" activeCell="D702" sqref="D702"/>
      <pageMargins left="0.23622047244094491" right="0.23622047244094491" top="0.74803149606299213" bottom="0.74803149606299213" header="0.31496062992125984" footer="0.31496062992125984"/>
      <pageSetup paperSize="9" scale="51" orientation="landscape" r:id="rId3"/>
      <headerFooter alignWithMargins="0"/>
    </customSheetView>
    <customSheetView guid="{64A379BA-3141-462E-A550-7507503698AB}" showPageBreaks="1" showFormulas="1" printArea="1" view="pageBreakPreview" topLeftCell="B1">
      <pane ySplit="9" topLeftCell="A329" activePane="bottomLeft" state="frozen"/>
      <selection pane="bottomLeft" activeCell="D348" sqref="D348"/>
      <pageMargins left="0.23622047244094491" right="0.23622047244094491" top="0.74803149606299213" bottom="0.74803149606299213" header="0.31496062992125984" footer="0.31496062992125984"/>
      <pageSetup paperSize="9" scale="51" orientation="landscape" r:id="rId4"/>
    </customSheetView>
  </customSheetViews>
  <mergeCells count="11">
    <mergeCell ref="O11:O12"/>
    <mergeCell ref="A1:O5"/>
    <mergeCell ref="A11:A12"/>
    <mergeCell ref="B11:B12"/>
    <mergeCell ref="C11:C12"/>
    <mergeCell ref="D11:D12"/>
    <mergeCell ref="E11:E12"/>
    <mergeCell ref="F11:F12"/>
    <mergeCell ref="H11:J11"/>
    <mergeCell ref="K11:M11"/>
    <mergeCell ref="N11:N12"/>
  </mergeCells>
  <phoneticPr fontId="27" type="noConversion"/>
  <conditionalFormatting sqref="B836 B854 B900 B1274 B1253">
    <cfRule type="cellIs" dxfId="36" priority="68" stopIfTrue="1" operator="equal">
      <formula>"Cotação Balaroti"</formula>
    </cfRule>
  </conditionalFormatting>
  <conditionalFormatting sqref="A836 A900 A1274 A1253">
    <cfRule type="cellIs" dxfId="35" priority="69" stopIfTrue="1" operator="equal">
      <formula>"SINAPI"</formula>
    </cfRule>
  </conditionalFormatting>
  <conditionalFormatting sqref="A836 A854">
    <cfRule type="expression" dxfId="34" priority="70" stopIfTrue="1">
      <formula>NOT(ISERROR(SEARCH("SINAPI",A836)))</formula>
    </cfRule>
  </conditionalFormatting>
  <conditionalFormatting sqref="B1014 B1032 B1065">
    <cfRule type="cellIs" dxfId="33" priority="62" stopIfTrue="1" operator="equal">
      <formula>"Cotação Balaroti"</formula>
    </cfRule>
  </conditionalFormatting>
  <conditionalFormatting sqref="A1014 A1065">
    <cfRule type="cellIs" dxfId="32" priority="63" stopIfTrue="1" operator="equal">
      <formula>"SINAPI"</formula>
    </cfRule>
  </conditionalFormatting>
  <conditionalFormatting sqref="A1014 A1032">
    <cfRule type="expression" dxfId="31" priority="64" stopIfTrue="1">
      <formula>NOT(ISERROR(SEARCH("SINAPI",A1014)))</formula>
    </cfRule>
  </conditionalFormatting>
  <conditionalFormatting sqref="B1179 B1197 B1230">
    <cfRule type="cellIs" dxfId="30" priority="59" stopIfTrue="1" operator="equal">
      <formula>"Cotação Balaroti"</formula>
    </cfRule>
  </conditionalFormatting>
  <conditionalFormatting sqref="A1179 A1230">
    <cfRule type="cellIs" dxfId="29" priority="60" stopIfTrue="1" operator="equal">
      <formula>"SINAPI"</formula>
    </cfRule>
  </conditionalFormatting>
  <conditionalFormatting sqref="A1179 A1197">
    <cfRule type="expression" dxfId="28" priority="61" stopIfTrue="1">
      <formula>NOT(ISERROR(SEARCH("SINAPI",A1179)))</formula>
    </cfRule>
  </conditionalFormatting>
  <conditionalFormatting sqref="B737:B741 B757:B758 F745 B753:B755 B746 B745:C745 A749:D750 L746:O750 F749:G750 B729:B735 A752:O752 I749:K750 I753">
    <cfRule type="cellIs" dxfId="27" priority="57" stopIfTrue="1" operator="equal">
      <formula>"Cotação Balaroti"</formula>
    </cfRule>
  </conditionalFormatting>
  <conditionalFormatting sqref="A745:A748 A753:A758 A729:A735 A737:A742">
    <cfRule type="cellIs" dxfId="26" priority="58" stopIfTrue="1" operator="equal">
      <formula>"SINAPI"</formula>
    </cfRule>
  </conditionalFormatting>
  <conditionalFormatting sqref="B928:B932 B949:B950 F936 B945:B947 B937 B936:C936 A940:D941 L937:O941 F940:F941 B920:B926 A944:F944 I940:K941 I945 H944:O944">
    <cfRule type="cellIs" dxfId="25" priority="55" stopIfTrue="1" operator="equal">
      <formula>"Cotação Balaroti"</formula>
    </cfRule>
  </conditionalFormatting>
  <conditionalFormatting sqref="A936:A939 A945:A950 A920:A926 A928:A933">
    <cfRule type="cellIs" dxfId="24" priority="56" stopIfTrue="1" operator="equal">
      <formula>"SINAPI"</formula>
    </cfRule>
  </conditionalFormatting>
  <conditionalFormatting sqref="B1093:B1097 B1114:B1115 F1101 B1110:B1112 B1102 B1101:C1101 A1105:D1106 L1102:O1106 F1105:F1106 B1085:B1091 A1109:F1109 I1105:K1106 I1110 H1109:O1109">
    <cfRule type="cellIs" dxfId="23" priority="53" stopIfTrue="1" operator="equal">
      <formula>"Cotação Balaroti"</formula>
    </cfRule>
  </conditionalFormatting>
  <conditionalFormatting sqref="A1101:A1104 A1110:A1115 A1085:A1091 A1093:A1098">
    <cfRule type="cellIs" dxfId="22" priority="54" stopIfTrue="1" operator="equal">
      <formula>"SINAPI"</formula>
    </cfRule>
  </conditionalFormatting>
  <conditionalFormatting sqref="B1251">
    <cfRule type="cellIs" dxfId="21" priority="35" stopIfTrue="1" operator="equal">
      <formula>"SINAPI"</formula>
    </cfRule>
  </conditionalFormatting>
  <conditionalFormatting sqref="A1251">
    <cfRule type="cellIs" dxfId="20" priority="36" stopIfTrue="1" operator="equal">
      <formula>"SINAPI"</formula>
    </cfRule>
  </conditionalFormatting>
  <conditionalFormatting sqref="B1257:B1259">
    <cfRule type="cellIs" dxfId="19" priority="31" stopIfTrue="1" operator="equal">
      <formula>"SINAPI"</formula>
    </cfRule>
  </conditionalFormatting>
  <conditionalFormatting sqref="A1257 A1259">
    <cfRule type="cellIs" dxfId="18" priority="32" stopIfTrue="1" operator="equal">
      <formula>"SINAPI"</formula>
    </cfRule>
  </conditionalFormatting>
  <conditionalFormatting sqref="B1263:B1265">
    <cfRule type="cellIs" dxfId="17" priority="27" stopIfTrue="1" operator="equal">
      <formula>"SINAPI"</formula>
    </cfRule>
  </conditionalFormatting>
  <conditionalFormatting sqref="A1263 A1265">
    <cfRule type="cellIs" dxfId="16" priority="28" stopIfTrue="1" operator="equal">
      <formula>"SINAPI"</formula>
    </cfRule>
  </conditionalFormatting>
  <conditionalFormatting sqref="G940:G941 G943">
    <cfRule type="cellIs" dxfId="15" priority="26" stopIfTrue="1" operator="equal">
      <formula>"Cotação Balaroti"</formula>
    </cfRule>
  </conditionalFormatting>
  <conditionalFormatting sqref="G1105:G1106 G1108">
    <cfRule type="cellIs" dxfId="14" priority="25" stopIfTrue="1" operator="equal">
      <formula>"Cotação Balaroti"</formula>
    </cfRule>
  </conditionalFormatting>
  <conditionalFormatting sqref="B1236:B1239">
    <cfRule type="cellIs" dxfId="13" priority="19" stopIfTrue="1" operator="equal">
      <formula>"Cotação Balaroti"</formula>
    </cfRule>
  </conditionalFormatting>
  <conditionalFormatting sqref="A1236:A1239">
    <cfRule type="cellIs" dxfId="12" priority="20" stopIfTrue="1" operator="equal">
      <formula>"SINAPI"</formula>
    </cfRule>
  </conditionalFormatting>
  <conditionalFormatting sqref="B1071:B1074">
    <cfRule type="cellIs" dxfId="11" priority="17" stopIfTrue="1" operator="equal">
      <formula>"Cotação Balaroti"</formula>
    </cfRule>
  </conditionalFormatting>
  <conditionalFormatting sqref="A1071:A1074">
    <cfRule type="cellIs" dxfId="10" priority="18" stopIfTrue="1" operator="equal">
      <formula>"SINAPI"</formula>
    </cfRule>
  </conditionalFormatting>
  <conditionalFormatting sqref="B906:B909">
    <cfRule type="cellIs" dxfId="9" priority="15" stopIfTrue="1" operator="equal">
      <formula>"Cotação Balaroti"</formula>
    </cfRule>
  </conditionalFormatting>
  <conditionalFormatting sqref="A906:A909">
    <cfRule type="cellIs" dxfId="8" priority="16" stopIfTrue="1" operator="equal">
      <formula>"SINAPI"</formula>
    </cfRule>
  </conditionalFormatting>
  <conditionalFormatting sqref="B719:B720 B722">
    <cfRule type="cellIs" dxfId="7" priority="13" stopIfTrue="1" operator="equal">
      <formula>"Cotação Balaroti"</formula>
    </cfRule>
  </conditionalFormatting>
  <conditionalFormatting sqref="A719:A720 A722">
    <cfRule type="cellIs" dxfId="6" priority="14" stopIfTrue="1" operator="equal">
      <formula>"SINAPI"</formula>
    </cfRule>
  </conditionalFormatting>
  <conditionalFormatting sqref="B721">
    <cfRule type="cellIs" dxfId="5" priority="11" stopIfTrue="1" operator="equal">
      <formula>"Cotação Balaroti"</formula>
    </cfRule>
  </conditionalFormatting>
  <conditionalFormatting sqref="A721">
    <cfRule type="cellIs" dxfId="4" priority="12" stopIfTrue="1" operator="equal">
      <formula>"SINAPI"</formula>
    </cfRule>
  </conditionalFormatting>
  <conditionalFormatting sqref="B1361:B1366 B1369:B1389">
    <cfRule type="cellIs" dxfId="3" priority="3" stopIfTrue="1" operator="equal">
      <formula>"Cotação Balaroti"</formula>
    </cfRule>
  </conditionalFormatting>
  <conditionalFormatting sqref="A1361:A1366 A1369:A1389">
    <cfRule type="cellIs" dxfId="2" priority="4" stopIfTrue="1" operator="equal">
      <formula>"SINAPI"</formula>
    </cfRule>
  </conditionalFormatting>
  <conditionalFormatting sqref="B1367:B1368">
    <cfRule type="cellIs" dxfId="1" priority="1" stopIfTrue="1" operator="equal">
      <formula>"Cotação Balaroti"</formula>
    </cfRule>
  </conditionalFormatting>
  <conditionalFormatting sqref="A1367:A1368">
    <cfRule type="cellIs" dxfId="0" priority="2" stopIfTrue="1" operator="equal">
      <formula>"SINAPI"</formula>
    </cfRule>
  </conditionalFormatting>
  <dataValidations disablePrompts="1" count="2">
    <dataValidation allowBlank="1" showInputMessage="1" showErrorMessage="1" prompt="Este valor não deve ser alterado, altere o custo do insuno." sqref="F728:F758 F919:F950 F1084:F1115 F1236:F1239 F1071:F1074 F906:F909 F718:F722 F1273:F1274 F1360:F1389 F1252:F1253"/>
    <dataValidation allowBlank="1" showInputMessage="1" showErrorMessage="1" prompt="Insumos iguais devem ter o mesmo custo atribuído." sqref="G747:G758 G728 G731:G736 G739:G744 G919 G938:G950 G922:G927 G1084 G1103:G1115 G930:G935 G1087:G1092 G1095:G1100 G1238:G1239 G1073:G1074 G908:G909 G718 G721:G722 G1273:G1274 G1360 G1363:G1389 G1252:G1253"/>
  </dataValidations>
  <pageMargins left="0.23622047244094491" right="0.23622047244094491" top="0.74803149606299213" bottom="0.74803149606299213" header="0.31496062992125984" footer="0.31496062992125984"/>
  <pageSetup paperSize="9" scale="51" orientation="landscape"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U203"/>
  <sheetViews>
    <sheetView topLeftCell="A187" zoomScaleNormal="100" workbookViewId="0">
      <pane xSplit="2" topLeftCell="K1" activePane="topRight" state="frozen"/>
      <selection activeCell="A127" sqref="A127"/>
      <selection pane="topRight" activeCell="O215" sqref="O215"/>
    </sheetView>
  </sheetViews>
  <sheetFormatPr defaultRowHeight="15" x14ac:dyDescent="0.25"/>
  <cols>
    <col min="1" max="1" width="5.140625" style="11" customWidth="1"/>
    <col min="2" max="2" width="36.7109375" style="86" customWidth="1"/>
    <col min="3" max="3" width="10.7109375" style="511" customWidth="1"/>
    <col min="4" max="4" width="10.7109375" customWidth="1"/>
    <col min="5" max="5" width="10.7109375" style="511" customWidth="1"/>
    <col min="6" max="6" width="10.7109375" customWidth="1"/>
    <col min="7" max="7" width="10.7109375" style="511" customWidth="1"/>
    <col min="8" max="8" width="10.7109375" customWidth="1"/>
    <col min="9" max="9" width="10.7109375" style="511" customWidth="1"/>
    <col min="10" max="10" width="10.7109375" customWidth="1"/>
    <col min="11" max="11" width="10.7109375" style="511" customWidth="1"/>
    <col min="12" max="12" width="10.7109375" customWidth="1"/>
    <col min="13" max="13" width="10.7109375" style="511" customWidth="1"/>
    <col min="14" max="14" width="10.7109375" customWidth="1"/>
    <col min="15" max="15" width="10.7109375" style="511" customWidth="1"/>
    <col min="16" max="16" width="10.7109375" customWidth="1"/>
    <col min="17" max="17" width="10.7109375" style="511" customWidth="1"/>
    <col min="18" max="18" width="10.7109375" customWidth="1"/>
    <col min="19" max="19" width="3.140625" customWidth="1"/>
    <col min="20" max="20" width="17" style="79" customWidth="1"/>
    <col min="21" max="21" width="10.140625" bestFit="1" customWidth="1"/>
    <col min="22" max="22" width="7" customWidth="1"/>
    <col min="23" max="23" width="10.28515625" bestFit="1" customWidth="1"/>
  </cols>
  <sheetData>
    <row r="1" spans="1:23" x14ac:dyDescent="0.25">
      <c r="A1" s="880" t="s">
        <v>2</v>
      </c>
      <c r="B1" s="881"/>
      <c r="C1" s="881"/>
      <c r="D1" s="881"/>
      <c r="E1" s="881"/>
      <c r="F1" s="881"/>
      <c r="G1" s="881"/>
      <c r="H1" s="881"/>
      <c r="I1" s="881"/>
      <c r="J1" s="881"/>
      <c r="K1" s="881"/>
      <c r="L1" s="881"/>
      <c r="M1" s="881"/>
      <c r="N1" s="881"/>
      <c r="O1" s="881"/>
      <c r="P1" s="881"/>
      <c r="Q1" s="881"/>
      <c r="R1" s="881"/>
      <c r="S1" s="882"/>
      <c r="T1" s="882"/>
      <c r="U1" s="883"/>
    </row>
    <row r="2" spans="1:23" x14ac:dyDescent="0.25">
      <c r="A2" s="884"/>
      <c r="B2" s="885"/>
      <c r="C2" s="885"/>
      <c r="D2" s="885"/>
      <c r="E2" s="885"/>
      <c r="F2" s="885"/>
      <c r="G2" s="885"/>
      <c r="H2" s="885"/>
      <c r="I2" s="885"/>
      <c r="J2" s="885"/>
      <c r="K2" s="885"/>
      <c r="L2" s="885"/>
      <c r="M2" s="885"/>
      <c r="N2" s="885"/>
      <c r="O2" s="885"/>
      <c r="P2" s="885"/>
      <c r="Q2" s="885"/>
      <c r="R2" s="885"/>
      <c r="S2" s="886"/>
      <c r="T2" s="886"/>
      <c r="U2" s="887"/>
    </row>
    <row r="3" spans="1:23" x14ac:dyDescent="0.25">
      <c r="A3" s="884"/>
      <c r="B3" s="885"/>
      <c r="C3" s="885"/>
      <c r="D3" s="885"/>
      <c r="E3" s="885"/>
      <c r="F3" s="885"/>
      <c r="G3" s="885"/>
      <c r="H3" s="885"/>
      <c r="I3" s="885"/>
      <c r="J3" s="885"/>
      <c r="K3" s="885"/>
      <c r="L3" s="885"/>
      <c r="M3" s="885"/>
      <c r="N3" s="885"/>
      <c r="O3" s="885"/>
      <c r="P3" s="885"/>
      <c r="Q3" s="885"/>
      <c r="R3" s="885"/>
      <c r="S3" s="886"/>
      <c r="T3" s="886"/>
      <c r="U3" s="887"/>
    </row>
    <row r="4" spans="1:23" x14ac:dyDescent="0.25">
      <c r="A4" s="884"/>
      <c r="B4" s="885"/>
      <c r="C4" s="885"/>
      <c r="D4" s="885"/>
      <c r="E4" s="885"/>
      <c r="F4" s="885"/>
      <c r="G4" s="885"/>
      <c r="H4" s="885"/>
      <c r="I4" s="885"/>
      <c r="J4" s="885"/>
      <c r="K4" s="885"/>
      <c r="L4" s="885"/>
      <c r="M4" s="885"/>
      <c r="N4" s="885"/>
      <c r="O4" s="885"/>
      <c r="P4" s="885"/>
      <c r="Q4" s="885"/>
      <c r="R4" s="885"/>
      <c r="S4" s="886"/>
      <c r="T4" s="886"/>
      <c r="U4" s="887"/>
    </row>
    <row r="5" spans="1:23" x14ac:dyDescent="0.25">
      <c r="A5" s="884"/>
      <c r="B5" s="885"/>
      <c r="C5" s="885"/>
      <c r="D5" s="885"/>
      <c r="E5" s="885"/>
      <c r="F5" s="885"/>
      <c r="G5" s="885"/>
      <c r="H5" s="885"/>
      <c r="I5" s="885"/>
      <c r="J5" s="885"/>
      <c r="K5" s="885"/>
      <c r="L5" s="885"/>
      <c r="M5" s="885"/>
      <c r="N5" s="885"/>
      <c r="O5" s="885"/>
      <c r="P5" s="885"/>
      <c r="Q5" s="885"/>
      <c r="R5" s="885"/>
      <c r="S5" s="886"/>
      <c r="T5" s="886"/>
      <c r="U5" s="887"/>
    </row>
    <row r="6" spans="1:23" s="91" customFormat="1" ht="15.75" x14ac:dyDescent="0.25">
      <c r="A6" s="888"/>
      <c r="B6" s="889"/>
      <c r="C6" s="889"/>
      <c r="D6" s="889"/>
      <c r="E6" s="889"/>
      <c r="F6" s="889"/>
      <c r="G6" s="889"/>
      <c r="H6" s="889"/>
      <c r="I6" s="889"/>
      <c r="J6" s="889"/>
      <c r="K6" s="889"/>
      <c r="L6" s="889"/>
      <c r="M6" s="889"/>
      <c r="N6" s="889"/>
      <c r="O6" s="889"/>
      <c r="P6" s="889"/>
      <c r="Q6" s="889"/>
      <c r="R6" s="889"/>
      <c r="S6" s="889"/>
      <c r="T6" s="889"/>
      <c r="U6" s="890"/>
    </row>
    <row r="7" spans="1:23" s="91" customFormat="1" ht="15.75" x14ac:dyDescent="0.25">
      <c r="A7" s="93"/>
      <c r="B7" s="109" t="s">
        <v>263</v>
      </c>
      <c r="C7" s="502"/>
      <c r="D7" s="94" t="str">
        <f>ANALÍTICO!D7</f>
        <v>Avenida XV de Novembro, 830</v>
      </c>
      <c r="E7" s="512"/>
      <c r="F7" s="95"/>
      <c r="G7" s="515"/>
      <c r="H7" s="96"/>
      <c r="I7" s="517"/>
      <c r="J7" s="97"/>
      <c r="K7" s="502"/>
      <c r="L7" s="94"/>
      <c r="M7" s="512"/>
      <c r="N7" s="95"/>
      <c r="O7" s="515"/>
      <c r="P7" s="96"/>
      <c r="Q7" s="517"/>
      <c r="R7" s="97"/>
      <c r="S7" s="92"/>
      <c r="T7" s="98"/>
      <c r="U7" s="99"/>
    </row>
    <row r="8" spans="1:23" s="91" customFormat="1" ht="20.25" customHeight="1" x14ac:dyDescent="0.25">
      <c r="A8" s="100"/>
      <c r="B8" s="109" t="s">
        <v>265</v>
      </c>
      <c r="C8" s="502"/>
      <c r="D8" s="94" t="str">
        <f>ANALÍTICO!D8</f>
        <v>Cornélio Procópio/PR</v>
      </c>
      <c r="E8" s="513"/>
      <c r="F8" s="101"/>
      <c r="G8" s="516"/>
      <c r="H8" s="96"/>
      <c r="I8" s="517"/>
      <c r="J8" s="97"/>
      <c r="K8" s="502"/>
      <c r="L8" s="94"/>
      <c r="M8" s="513"/>
      <c r="N8" s="101"/>
      <c r="O8" s="516"/>
      <c r="P8" s="96"/>
      <c r="Q8" s="517"/>
      <c r="R8" s="97"/>
      <c r="S8" s="92"/>
      <c r="T8" s="98"/>
      <c r="U8" s="99"/>
    </row>
    <row r="9" spans="1:23" s="91" customFormat="1" ht="24" customHeight="1" thickBot="1" x14ac:dyDescent="0.3">
      <c r="A9" s="102"/>
      <c r="B9" s="110" t="s">
        <v>266</v>
      </c>
      <c r="C9" s="503"/>
      <c r="D9" s="892">
        <f>ANALÍTICO!D9</f>
        <v>2155.41</v>
      </c>
      <c r="E9" s="893"/>
      <c r="F9" s="893"/>
      <c r="G9" s="893"/>
      <c r="H9" s="893"/>
      <c r="I9" s="893"/>
      <c r="J9" s="893"/>
      <c r="K9" s="503"/>
      <c r="L9" s="327"/>
      <c r="M9" s="518"/>
      <c r="N9" s="103"/>
      <c r="O9" s="519"/>
      <c r="P9" s="104"/>
      <c r="Q9" s="520"/>
      <c r="R9" s="105"/>
      <c r="S9" s="106"/>
      <c r="T9" s="107"/>
      <c r="U9" s="108"/>
    </row>
    <row r="11" spans="1:23" x14ac:dyDescent="0.25">
      <c r="C11" s="891" t="s">
        <v>153</v>
      </c>
      <c r="D11" s="891"/>
      <c r="E11" s="891" t="s">
        <v>155</v>
      </c>
      <c r="F11" s="891"/>
      <c r="G11" s="891" t="s">
        <v>156</v>
      </c>
      <c r="H11" s="891"/>
      <c r="I11" s="891" t="s">
        <v>157</v>
      </c>
      <c r="J11" s="891"/>
      <c r="K11" s="891" t="s">
        <v>87</v>
      </c>
      <c r="L11" s="891"/>
      <c r="M11" s="891" t="s">
        <v>88</v>
      </c>
      <c r="N11" s="891"/>
      <c r="O11" s="891" t="s">
        <v>89</v>
      </c>
      <c r="P11" s="891"/>
      <c r="Q11" s="891" t="s">
        <v>90</v>
      </c>
      <c r="R11" s="891"/>
    </row>
    <row r="12" spans="1:23" ht="30" x14ac:dyDescent="0.25">
      <c r="C12" s="847" t="s">
        <v>334</v>
      </c>
      <c r="D12" s="848" t="s">
        <v>154</v>
      </c>
      <c r="E12" s="504" t="s">
        <v>334</v>
      </c>
      <c r="F12" s="87" t="s">
        <v>154</v>
      </c>
      <c r="G12" s="504" t="s">
        <v>334</v>
      </c>
      <c r="H12" s="87" t="s">
        <v>154</v>
      </c>
      <c r="I12" s="504" t="s">
        <v>334</v>
      </c>
      <c r="J12" s="87" t="s">
        <v>154</v>
      </c>
      <c r="K12" s="504" t="s">
        <v>334</v>
      </c>
      <c r="L12" s="87" t="s">
        <v>154</v>
      </c>
      <c r="M12" s="504" t="s">
        <v>334</v>
      </c>
      <c r="N12" s="87" t="s">
        <v>154</v>
      </c>
      <c r="O12" s="504" t="s">
        <v>334</v>
      </c>
      <c r="P12" s="87" t="s">
        <v>154</v>
      </c>
      <c r="Q12" s="504" t="s">
        <v>334</v>
      </c>
      <c r="R12" s="87" t="s">
        <v>154</v>
      </c>
      <c r="T12" s="90" t="s">
        <v>158</v>
      </c>
      <c r="U12" s="90" t="s">
        <v>159</v>
      </c>
    </row>
    <row r="13" spans="1:23" ht="30" x14ac:dyDescent="0.25">
      <c r="A13" s="493">
        <f>ANALÍTICO!C14</f>
        <v>1</v>
      </c>
      <c r="B13" s="494" t="str">
        <f>ANALÍTICO!D14</f>
        <v>ADMINISTRAÇÃO DE OBRA E SERVIÇOS INICIAIS</v>
      </c>
      <c r="C13" s="505"/>
      <c r="D13" s="495"/>
      <c r="E13" s="829"/>
      <c r="F13" s="521"/>
      <c r="G13" s="505"/>
      <c r="H13" s="495"/>
      <c r="I13" s="829"/>
      <c r="J13" s="521"/>
      <c r="K13" s="829"/>
      <c r="L13" s="521"/>
      <c r="M13" s="505"/>
      <c r="N13" s="495"/>
      <c r="O13" s="829"/>
      <c r="P13" s="521"/>
      <c r="Q13" s="505"/>
      <c r="R13" s="495"/>
      <c r="T13" s="500">
        <f>SUM(T14:T16)</f>
        <v>77387.210000000006</v>
      </c>
      <c r="U13" s="540"/>
      <c r="W13" s="541">
        <f>RESUMO!C12</f>
        <v>77387.210000000006</v>
      </c>
    </row>
    <row r="14" spans="1:23" ht="30" x14ac:dyDescent="0.25">
      <c r="A14" s="88"/>
      <c r="B14" s="201" t="str">
        <f>ANALÍTICO!D16</f>
        <v>ENGENHEIRO OU ARQUITETO DE OBRA- meio período</v>
      </c>
      <c r="C14" s="827">
        <v>0.125</v>
      </c>
      <c r="D14" s="828">
        <f>C14*T14</f>
        <v>4894.2112500000003</v>
      </c>
      <c r="E14" s="812">
        <v>0.125</v>
      </c>
      <c r="F14" s="834">
        <f>E14*$T$14</f>
        <v>4894.2112500000003</v>
      </c>
      <c r="G14" s="827">
        <v>0.125</v>
      </c>
      <c r="H14" s="828">
        <f>G14*$T$14</f>
        <v>4894.2112500000003</v>
      </c>
      <c r="I14" s="812">
        <v>0.125</v>
      </c>
      <c r="J14" s="834">
        <f>I14*$T$14</f>
        <v>4894.2112500000003</v>
      </c>
      <c r="K14" s="506">
        <v>0.125</v>
      </c>
      <c r="L14" s="489">
        <f>K14*$T$14</f>
        <v>4894.2112500000003</v>
      </c>
      <c r="M14" s="812">
        <v>0.125</v>
      </c>
      <c r="N14" s="834">
        <f>M14*$T$14</f>
        <v>4894.2112500000003</v>
      </c>
      <c r="O14" s="506">
        <v>0.125</v>
      </c>
      <c r="P14" s="489">
        <f>O14*$T$14</f>
        <v>4894.2112500000003</v>
      </c>
      <c r="Q14" s="812">
        <v>0.125</v>
      </c>
      <c r="R14" s="489">
        <f>Q14*$T$14</f>
        <v>4894.2112500000003</v>
      </c>
      <c r="T14" s="498">
        <f>ANALÍTICO!O16</f>
        <v>39153.69</v>
      </c>
      <c r="U14" s="499">
        <f>C14+E14+G14+I14+K14+M14+O14+Q14</f>
        <v>1</v>
      </c>
      <c r="W14" s="79">
        <f>D14+F14+H14+J14+L14+N14+P14+R14</f>
        <v>39153.69</v>
      </c>
    </row>
    <row r="15" spans="1:23" x14ac:dyDescent="0.25">
      <c r="A15" s="81"/>
      <c r="B15" s="202" t="str">
        <f>ANALÍTICO!D18</f>
        <v>MESTRE DE OBRAS</v>
      </c>
      <c r="C15" s="506">
        <v>0.125</v>
      </c>
      <c r="D15" s="489">
        <f>C15*$T$15</f>
        <v>4695.8125</v>
      </c>
      <c r="E15" s="812">
        <v>0.125</v>
      </c>
      <c r="F15" s="834">
        <f>E15*$T$15</f>
        <v>4695.8125</v>
      </c>
      <c r="G15" s="506">
        <v>0.125</v>
      </c>
      <c r="H15" s="489">
        <f>G15*$T$15</f>
        <v>4695.8125</v>
      </c>
      <c r="I15" s="812">
        <v>0.125</v>
      </c>
      <c r="J15" s="834">
        <f>I15*$T$15</f>
        <v>4695.8125</v>
      </c>
      <c r="K15" s="506">
        <v>0.125</v>
      </c>
      <c r="L15" s="489">
        <f>K15*$T$15</f>
        <v>4695.8125</v>
      </c>
      <c r="M15" s="812">
        <v>0.125</v>
      </c>
      <c r="N15" s="834">
        <f>M15*$T$15</f>
        <v>4695.8125</v>
      </c>
      <c r="O15" s="506">
        <v>0.125</v>
      </c>
      <c r="P15" s="489">
        <f>O15*$T$15</f>
        <v>4695.8125</v>
      </c>
      <c r="Q15" s="812">
        <v>0.125</v>
      </c>
      <c r="R15" s="489">
        <f>Q15*$T$15</f>
        <v>4695.8125</v>
      </c>
      <c r="T15" s="78">
        <f>ANALÍTICO!O18</f>
        <v>37566.5</v>
      </c>
      <c r="U15" s="497">
        <f>C15+E15+G15+I15+K15+M15+O15+Q15</f>
        <v>1</v>
      </c>
      <c r="W15" s="79">
        <f>D15+F15+H15+J15+L15+N15+P15+R15</f>
        <v>37566.5</v>
      </c>
    </row>
    <row r="16" spans="1:23" ht="30" x14ac:dyDescent="0.25">
      <c r="A16" s="81"/>
      <c r="B16" s="202" t="str">
        <f>ANALÍTICO!D20</f>
        <v>PLACA DE OBRA EM CHAPA DE ACO GALVANIZADO</v>
      </c>
      <c r="C16" s="506">
        <v>1</v>
      </c>
      <c r="D16" s="489">
        <f>C16*$T16</f>
        <v>667.02</v>
      </c>
      <c r="E16" s="813"/>
      <c r="F16" s="835"/>
      <c r="G16" s="514"/>
      <c r="H16" s="496"/>
      <c r="I16" s="813"/>
      <c r="J16" s="835"/>
      <c r="K16" s="514"/>
      <c r="L16" s="496"/>
      <c r="M16" s="813"/>
      <c r="N16" s="835"/>
      <c r="O16" s="514"/>
      <c r="P16" s="496"/>
      <c r="Q16" s="813"/>
      <c r="R16" s="496"/>
      <c r="T16" s="78">
        <f>ANALÍTICO!O20</f>
        <v>667.02</v>
      </c>
      <c r="U16" s="497">
        <f>C16+E16+G16+I16+K16+M16+O16+Q16</f>
        <v>1</v>
      </c>
      <c r="W16" s="79">
        <f>D16+F16+H16+J16+L16+N16+P16+R16</f>
        <v>667.02</v>
      </c>
    </row>
    <row r="17" spans="1:23" x14ac:dyDescent="0.25">
      <c r="A17" s="82"/>
      <c r="B17" s="799"/>
      <c r="C17" s="507"/>
      <c r="D17" s="291"/>
      <c r="E17" s="814"/>
      <c r="F17" s="558"/>
      <c r="G17" s="507"/>
      <c r="H17" s="291"/>
      <c r="I17" s="814"/>
      <c r="J17" s="558"/>
      <c r="K17" s="507"/>
      <c r="L17" s="291"/>
      <c r="M17" s="814"/>
      <c r="N17" s="558"/>
      <c r="O17" s="507"/>
      <c r="P17" s="291"/>
      <c r="Q17" s="814"/>
      <c r="R17" s="291"/>
      <c r="T17" s="78"/>
      <c r="U17" s="77"/>
    </row>
    <row r="18" spans="1:23" x14ac:dyDescent="0.25">
      <c r="A18" s="493">
        <f>ANALÍTICO!C22</f>
        <v>2</v>
      </c>
      <c r="B18" s="494" t="str">
        <f>ANALÍTICO!D22</f>
        <v>INSTALAÇÃO DO CANTEIRO DE OBRAS</v>
      </c>
      <c r="C18" s="829"/>
      <c r="D18" s="521"/>
      <c r="E18" s="505"/>
      <c r="F18" s="495"/>
      <c r="G18" s="829"/>
      <c r="H18" s="521"/>
      <c r="I18" s="505"/>
      <c r="J18" s="495"/>
      <c r="K18" s="829"/>
      <c r="L18" s="521"/>
      <c r="M18" s="505"/>
      <c r="N18" s="495"/>
      <c r="O18" s="829"/>
      <c r="P18" s="521"/>
      <c r="Q18" s="505"/>
      <c r="R18" s="495"/>
      <c r="T18" s="500">
        <f>SUM(T19:T20)</f>
        <v>11951.53</v>
      </c>
      <c r="U18" s="540"/>
      <c r="W18" s="541">
        <f>RESUMO!C13</f>
        <v>11951.53</v>
      </c>
    </row>
    <row r="19" spans="1:23" x14ac:dyDescent="0.25">
      <c r="A19" s="88"/>
      <c r="B19" s="201" t="str">
        <f>ANALÍTICO!D26</f>
        <v>CAÇAMBA PARA ENTULHO COMUM</v>
      </c>
      <c r="C19" s="506">
        <v>0.5</v>
      </c>
      <c r="D19" s="489">
        <f>C19*$T19</f>
        <v>3736.8</v>
      </c>
      <c r="E19" s="812">
        <v>0.2</v>
      </c>
      <c r="F19" s="834">
        <f>E19*$T19</f>
        <v>1494.7200000000003</v>
      </c>
      <c r="G19" s="506">
        <v>0.05</v>
      </c>
      <c r="H19" s="489">
        <f>G19*$T19</f>
        <v>373.68000000000006</v>
      </c>
      <c r="I19" s="812">
        <v>0.05</v>
      </c>
      <c r="J19" s="834">
        <f>I19*$T19</f>
        <v>373.68000000000006</v>
      </c>
      <c r="K19" s="506">
        <v>0.05</v>
      </c>
      <c r="L19" s="489">
        <f>K19*$T19</f>
        <v>373.68000000000006</v>
      </c>
      <c r="M19" s="812">
        <v>0.05</v>
      </c>
      <c r="N19" s="834">
        <f>M19*$T19</f>
        <v>373.68000000000006</v>
      </c>
      <c r="O19" s="506">
        <v>0.05</v>
      </c>
      <c r="P19" s="489">
        <f>O19*$T19</f>
        <v>373.68000000000006</v>
      </c>
      <c r="Q19" s="812">
        <v>0.05</v>
      </c>
      <c r="R19" s="489">
        <f>Q19*$T19</f>
        <v>373.68000000000006</v>
      </c>
      <c r="T19" s="78">
        <f>ANALÍTICO!O26</f>
        <v>7473.6</v>
      </c>
      <c r="U19" s="497">
        <f>C19+E19+G19+I19+K19+M19+O19+Q19</f>
        <v>1.0000000000000002</v>
      </c>
      <c r="W19" s="79">
        <f>D19+F19+H19+J19+L19+N19+P19+R19</f>
        <v>7473.6000000000022</v>
      </c>
    </row>
    <row r="20" spans="1:23" x14ac:dyDescent="0.25">
      <c r="A20" s="542"/>
      <c r="B20" s="800" t="s">
        <v>105</v>
      </c>
      <c r="C20" s="535"/>
      <c r="D20" s="536"/>
      <c r="E20" s="815"/>
      <c r="F20" s="836"/>
      <c r="G20" s="535"/>
      <c r="H20" s="536"/>
      <c r="I20" s="815"/>
      <c r="J20" s="836"/>
      <c r="K20" s="535"/>
      <c r="L20" s="536"/>
      <c r="M20" s="815"/>
      <c r="N20" s="836"/>
      <c r="O20" s="535"/>
      <c r="P20" s="536"/>
      <c r="Q20" s="815">
        <v>1</v>
      </c>
      <c r="R20" s="536">
        <f>Q20*T20</f>
        <v>4477.93</v>
      </c>
      <c r="T20" s="78">
        <f>ANALÍTICO!O24</f>
        <v>4477.93</v>
      </c>
      <c r="U20" s="497">
        <f>C20+E20+G20+I20+K20+M20+O20+Q20</f>
        <v>1</v>
      </c>
      <c r="W20" s="79">
        <f>D20+F20+H20+J20+L20+N20+P20+R20</f>
        <v>4477.93</v>
      </c>
    </row>
    <row r="21" spans="1:23" x14ac:dyDescent="0.25">
      <c r="A21" s="82"/>
      <c r="B21" s="799"/>
      <c r="C21" s="507"/>
      <c r="D21" s="291"/>
      <c r="E21" s="814"/>
      <c r="F21" s="558"/>
      <c r="G21" s="507"/>
      <c r="H21" s="291"/>
      <c r="I21" s="814"/>
      <c r="J21" s="558"/>
      <c r="K21" s="507"/>
      <c r="L21" s="291"/>
      <c r="M21" s="814"/>
      <c r="N21" s="558"/>
      <c r="O21" s="507"/>
      <c r="P21" s="291"/>
      <c r="Q21" s="814"/>
      <c r="R21" s="291"/>
      <c r="T21" s="78"/>
      <c r="U21" s="77"/>
    </row>
    <row r="22" spans="1:23" x14ac:dyDescent="0.25">
      <c r="A22" s="493">
        <f>ANALÍTICO!C28</f>
        <v>3</v>
      </c>
      <c r="B22" s="494" t="str">
        <f>ANALÍTICO!D28</f>
        <v>DEMOLIÇÕES</v>
      </c>
      <c r="C22" s="829"/>
      <c r="D22" s="521"/>
      <c r="E22" s="505"/>
      <c r="F22" s="495"/>
      <c r="G22" s="829"/>
      <c r="H22" s="521"/>
      <c r="I22" s="505"/>
      <c r="J22" s="495"/>
      <c r="K22" s="829"/>
      <c r="L22" s="521"/>
      <c r="M22" s="505"/>
      <c r="N22" s="495"/>
      <c r="O22" s="829"/>
      <c r="P22" s="521"/>
      <c r="Q22" s="505"/>
      <c r="R22" s="521"/>
      <c r="T22" s="500">
        <f>SUM(T23:T27)</f>
        <v>63869.80999999999</v>
      </c>
      <c r="U22" s="501"/>
      <c r="W22" s="541">
        <f>RESUMO!C14</f>
        <v>63869.80999999999</v>
      </c>
    </row>
    <row r="23" spans="1:23" x14ac:dyDescent="0.25">
      <c r="A23" s="81"/>
      <c r="B23" s="202" t="s">
        <v>130</v>
      </c>
      <c r="C23" s="514"/>
      <c r="D23" s="496"/>
      <c r="E23" s="813"/>
      <c r="F23" s="835"/>
      <c r="G23" s="506">
        <v>1</v>
      </c>
      <c r="H23" s="489">
        <f>G23*$T23</f>
        <v>3269.67</v>
      </c>
      <c r="I23" s="813"/>
      <c r="J23" s="835"/>
      <c r="K23" s="514"/>
      <c r="L23" s="496"/>
      <c r="M23" s="813"/>
      <c r="N23" s="835"/>
      <c r="O23" s="514"/>
      <c r="P23" s="496"/>
      <c r="Q23" s="813"/>
      <c r="R23" s="496"/>
      <c r="T23" s="78">
        <f>ANALÍTICO!O32+ANALÍTICO!O35</f>
        <v>3269.67</v>
      </c>
      <c r="U23" s="497">
        <f>C23+E23+G23+I23</f>
        <v>1</v>
      </c>
      <c r="W23" s="79">
        <f>D23+F23+H23+J23+L23+N23+P23+R23</f>
        <v>3269.67</v>
      </c>
    </row>
    <row r="24" spans="1:23" x14ac:dyDescent="0.25">
      <c r="A24" s="81"/>
      <c r="B24" s="202" t="str">
        <f>ANALÍTICO!D38</f>
        <v>PAVIMENTO SUB SOLO</v>
      </c>
      <c r="C24" s="506">
        <v>1</v>
      </c>
      <c r="D24" s="489">
        <f>C24*$T24</f>
        <v>620.42999999999995</v>
      </c>
      <c r="E24" s="813"/>
      <c r="F24" s="835"/>
      <c r="G24" s="514"/>
      <c r="H24" s="496"/>
      <c r="I24" s="813"/>
      <c r="J24" s="835"/>
      <c r="K24" s="514"/>
      <c r="L24" s="496"/>
      <c r="M24" s="813"/>
      <c r="N24" s="835"/>
      <c r="O24" s="514"/>
      <c r="P24" s="496"/>
      <c r="Q24" s="813"/>
      <c r="R24" s="496"/>
      <c r="T24" s="78">
        <f>SUM(ANALÍTICO!O40:O41)</f>
        <v>620.42999999999995</v>
      </c>
      <c r="U24" s="497">
        <f>C24+E24+G24+I24</f>
        <v>1</v>
      </c>
      <c r="W24" s="79">
        <f>D24+F24+H24+J24+L24+N24+P24+R24</f>
        <v>620.42999999999995</v>
      </c>
    </row>
    <row r="25" spans="1:23" x14ac:dyDescent="0.25">
      <c r="A25" s="81"/>
      <c r="B25" s="202" t="str">
        <f>ANALÍTICO!D42</f>
        <v>PAVIMENTO TERREO</v>
      </c>
      <c r="C25" s="506">
        <v>1</v>
      </c>
      <c r="D25" s="489">
        <f>C25*$T25</f>
        <v>26863.039999999997</v>
      </c>
      <c r="E25" s="813"/>
      <c r="F25" s="835"/>
      <c r="G25" s="514"/>
      <c r="H25" s="496"/>
      <c r="I25" s="813"/>
      <c r="J25" s="835"/>
      <c r="K25" s="514"/>
      <c r="L25" s="496"/>
      <c r="M25" s="813"/>
      <c r="N25" s="835"/>
      <c r="O25" s="514"/>
      <c r="P25" s="496"/>
      <c r="Q25" s="813"/>
      <c r="R25" s="496"/>
      <c r="T25" s="78">
        <f>SUM(ANALÍTICO!O44:O81)</f>
        <v>26863.039999999997</v>
      </c>
      <c r="U25" s="497">
        <f>C25+E25+G25+I25</f>
        <v>1</v>
      </c>
      <c r="W25" s="79">
        <f>D25+F25+H25+J25+L25+N25+P25+R25</f>
        <v>26863.039999999997</v>
      </c>
    </row>
    <row r="26" spans="1:23" x14ac:dyDescent="0.25">
      <c r="A26" s="81"/>
      <c r="B26" s="202" t="str">
        <f>ANALÍTICO!D82</f>
        <v>PRIMEIRO PAVIMENTO</v>
      </c>
      <c r="C26" s="506">
        <v>0.5</v>
      </c>
      <c r="D26" s="489">
        <f>C26*T26</f>
        <v>9118.0499999999975</v>
      </c>
      <c r="E26" s="812">
        <v>0.5</v>
      </c>
      <c r="F26" s="834">
        <f>E26*T26</f>
        <v>9118.0499999999975</v>
      </c>
      <c r="G26" s="514"/>
      <c r="H26" s="496"/>
      <c r="I26" s="813"/>
      <c r="J26" s="835"/>
      <c r="K26" s="514"/>
      <c r="L26" s="496"/>
      <c r="M26" s="813"/>
      <c r="N26" s="835"/>
      <c r="O26" s="514"/>
      <c r="P26" s="496"/>
      <c r="Q26" s="813"/>
      <c r="R26" s="496"/>
      <c r="T26" s="78">
        <f>SUM(ANALÍTICO!O84:O100)</f>
        <v>18236.099999999995</v>
      </c>
      <c r="U26" s="497">
        <f>C26+E26+G26+I26</f>
        <v>1</v>
      </c>
      <c r="W26" s="79">
        <f>D26+F26+H26+J26+L26+N26+P26+R26</f>
        <v>18236.099999999995</v>
      </c>
    </row>
    <row r="27" spans="1:23" x14ac:dyDescent="0.25">
      <c r="A27" s="82"/>
      <c r="B27" s="799" t="str">
        <f>ANALÍTICO!D101</f>
        <v>SEGUNDO PAVIMENTO</v>
      </c>
      <c r="C27" s="522"/>
      <c r="D27" s="523"/>
      <c r="E27" s="816">
        <v>1</v>
      </c>
      <c r="F27" s="837">
        <f>E27*T27</f>
        <v>14880.57</v>
      </c>
      <c r="G27" s="514"/>
      <c r="H27" s="496"/>
      <c r="I27" s="813"/>
      <c r="J27" s="835"/>
      <c r="K27" s="514"/>
      <c r="L27" s="496"/>
      <c r="M27" s="813"/>
      <c r="N27" s="835"/>
      <c r="O27" s="514"/>
      <c r="P27" s="496"/>
      <c r="Q27" s="813"/>
      <c r="R27" s="496"/>
      <c r="T27" s="78">
        <f>SUM(ANALÍTICO!O103:O120)</f>
        <v>14880.57</v>
      </c>
      <c r="U27" s="497">
        <f>C27+E27+G27+I27</f>
        <v>1</v>
      </c>
      <c r="W27" s="79">
        <f>D27+F27+H27+J27+L27+N27+P27+R27</f>
        <v>14880.57</v>
      </c>
    </row>
    <row r="28" spans="1:23" x14ac:dyDescent="0.25">
      <c r="A28" s="478"/>
      <c r="B28" s="479"/>
      <c r="C28" s="830"/>
      <c r="D28" s="831"/>
      <c r="E28" s="508"/>
      <c r="F28" s="490"/>
      <c r="G28" s="830"/>
      <c r="H28" s="831"/>
      <c r="I28" s="508"/>
      <c r="J28" s="490"/>
      <c r="K28" s="830"/>
      <c r="L28" s="831"/>
      <c r="M28" s="508"/>
      <c r="N28" s="490"/>
      <c r="O28" s="830"/>
      <c r="P28" s="831"/>
      <c r="Q28" s="508"/>
      <c r="R28" s="490"/>
      <c r="T28" s="78"/>
      <c r="U28" s="77"/>
    </row>
    <row r="29" spans="1:23" x14ac:dyDescent="0.25">
      <c r="A29" s="493">
        <f>ANALÍTICO!C121</f>
        <v>4</v>
      </c>
      <c r="B29" s="494" t="str">
        <f>ANALÍTICO!D121</f>
        <v>SUPRA-ESTRUTURA</v>
      </c>
      <c r="C29" s="829"/>
      <c r="D29" s="521"/>
      <c r="E29" s="505"/>
      <c r="F29" s="495"/>
      <c r="G29" s="829"/>
      <c r="H29" s="521"/>
      <c r="I29" s="505"/>
      <c r="J29" s="495"/>
      <c r="K29" s="829"/>
      <c r="L29" s="521"/>
      <c r="M29" s="505"/>
      <c r="N29" s="495"/>
      <c r="O29" s="829"/>
      <c r="P29" s="521"/>
      <c r="Q29" s="505"/>
      <c r="R29" s="521"/>
      <c r="T29" s="500">
        <f>SUM(T30:T34)</f>
        <v>7707.8000000000011</v>
      </c>
      <c r="U29" s="501"/>
      <c r="W29" s="541">
        <f>RESUMO!C15</f>
        <v>7707.8000000000011</v>
      </c>
    </row>
    <row r="30" spans="1:23" ht="30" x14ac:dyDescent="0.25">
      <c r="A30" s="81"/>
      <c r="B30" s="202" t="str">
        <f>ANALÍTICO!D123</f>
        <v>PILARES E VIGA DE AMARRAÇÃODE AMARRAÇÃO DAS ALVENARIAS</v>
      </c>
      <c r="C30" s="514"/>
      <c r="D30" s="496"/>
      <c r="E30" s="812">
        <v>1</v>
      </c>
      <c r="F30" s="834">
        <f>E30*T30</f>
        <v>2337.33</v>
      </c>
      <c r="G30" s="514"/>
      <c r="H30" s="496"/>
      <c r="I30" s="813"/>
      <c r="J30" s="835"/>
      <c r="K30" s="514"/>
      <c r="L30" s="496"/>
      <c r="M30" s="813"/>
      <c r="N30" s="835"/>
      <c r="O30" s="514"/>
      <c r="P30" s="496"/>
      <c r="Q30" s="813"/>
      <c r="R30" s="496"/>
      <c r="T30" s="78">
        <f>SUM(ANALÍTICO!O125:O130)</f>
        <v>2337.33</v>
      </c>
      <c r="U30" s="499">
        <f>C30+E30+G30+I30+K30+M30+O30+Q30</f>
        <v>1</v>
      </c>
      <c r="W30" s="79">
        <f>D30+F30+H30+J30+L30+N30+P30+R30</f>
        <v>2337.33</v>
      </c>
    </row>
    <row r="31" spans="1:23" ht="30" x14ac:dyDescent="0.25">
      <c r="A31" s="81"/>
      <c r="B31" s="202" t="s">
        <v>128</v>
      </c>
      <c r="C31" s="514"/>
      <c r="D31" s="496"/>
      <c r="E31" s="812">
        <v>1</v>
      </c>
      <c r="F31" s="834">
        <f>E31*T31</f>
        <v>248.24999999999997</v>
      </c>
      <c r="G31" s="514"/>
      <c r="H31" s="496"/>
      <c r="I31" s="813"/>
      <c r="J31" s="835"/>
      <c r="K31" s="514"/>
      <c r="L31" s="496"/>
      <c r="M31" s="813"/>
      <c r="N31" s="835"/>
      <c r="O31" s="514"/>
      <c r="P31" s="496"/>
      <c r="Q31" s="813"/>
      <c r="R31" s="496"/>
      <c r="T31" s="78">
        <f>SUM(ANALÍTICO!O135:O139)</f>
        <v>248.24999999999997</v>
      </c>
      <c r="U31" s="499">
        <f>C31+E31+G31+I31+K31+M31+O31+Q31</f>
        <v>1</v>
      </c>
      <c r="W31" s="79">
        <f>D31+F31+H31+J31+L31+N31+P31+R31</f>
        <v>248.24999999999997</v>
      </c>
    </row>
    <row r="32" spans="1:23" ht="30" x14ac:dyDescent="0.25">
      <c r="A32" s="81"/>
      <c r="B32" s="202" t="s">
        <v>568</v>
      </c>
      <c r="C32" s="514"/>
      <c r="D32" s="496"/>
      <c r="E32" s="812">
        <v>1</v>
      </c>
      <c r="F32" s="834">
        <f>E32*T32</f>
        <v>2398.6000000000004</v>
      </c>
      <c r="G32" s="514"/>
      <c r="H32" s="496"/>
      <c r="I32" s="813"/>
      <c r="J32" s="835"/>
      <c r="K32" s="514"/>
      <c r="L32" s="496"/>
      <c r="M32" s="813"/>
      <c r="N32" s="835"/>
      <c r="O32" s="514"/>
      <c r="P32" s="496"/>
      <c r="Q32" s="813"/>
      <c r="R32" s="496"/>
      <c r="T32" s="78">
        <f>SUM(ANALÍTICO!O145:O149)</f>
        <v>2398.6000000000004</v>
      </c>
      <c r="U32" s="499">
        <f>C32+E32+G32+I32+K32+M32+O32+Q32</f>
        <v>1</v>
      </c>
      <c r="W32" s="79">
        <f>D32+F32+H32+J32+L32+N32+P32+R32</f>
        <v>2398.6000000000004</v>
      </c>
    </row>
    <row r="33" spans="1:23" ht="30" x14ac:dyDescent="0.25">
      <c r="A33" s="81"/>
      <c r="B33" s="202" t="s">
        <v>569</v>
      </c>
      <c r="C33" s="514"/>
      <c r="D33" s="496"/>
      <c r="E33" s="812">
        <v>1</v>
      </c>
      <c r="F33" s="834">
        <f>E33*T33</f>
        <v>1351.1</v>
      </c>
      <c r="G33" s="514"/>
      <c r="H33" s="496"/>
      <c r="I33" s="813"/>
      <c r="J33" s="835"/>
      <c r="K33" s="514"/>
      <c r="L33" s="496"/>
      <c r="M33" s="813"/>
      <c r="N33" s="835"/>
      <c r="O33" s="514"/>
      <c r="P33" s="496"/>
      <c r="Q33" s="813"/>
      <c r="R33" s="496"/>
      <c r="T33" s="78">
        <f>SUM(ANALÍTICO!O154:O158)</f>
        <v>1351.1</v>
      </c>
      <c r="U33" s="499">
        <f>C33+E33+G33+I33+K33+M33+O33+Q33</f>
        <v>1</v>
      </c>
      <c r="W33" s="79">
        <f>D33+F33+H33+J33+L33+N33+P33+R33</f>
        <v>1351.1</v>
      </c>
    </row>
    <row r="34" spans="1:23" ht="30" x14ac:dyDescent="0.25">
      <c r="A34" s="81"/>
      <c r="B34" s="202" t="s">
        <v>570</v>
      </c>
      <c r="C34" s="514"/>
      <c r="D34" s="496"/>
      <c r="E34" s="812">
        <v>1</v>
      </c>
      <c r="F34" s="834">
        <f>E34*T34</f>
        <v>1372.52</v>
      </c>
      <c r="G34" s="514"/>
      <c r="H34" s="496"/>
      <c r="I34" s="813"/>
      <c r="J34" s="835"/>
      <c r="K34" s="514"/>
      <c r="L34" s="496"/>
      <c r="M34" s="813"/>
      <c r="N34" s="835"/>
      <c r="O34" s="514"/>
      <c r="P34" s="496"/>
      <c r="Q34" s="813"/>
      <c r="R34" s="496"/>
      <c r="T34" s="78">
        <f>SUM(ANALÍTICO!O163:O167)</f>
        <v>1372.52</v>
      </c>
      <c r="U34" s="499">
        <f>C34+E34+G34+I34+K34+M34+O34+Q34</f>
        <v>1</v>
      </c>
      <c r="W34" s="79">
        <f>D34+F34+H34+J34+L34+N34+P34+R34</f>
        <v>1372.52</v>
      </c>
    </row>
    <row r="35" spans="1:23" x14ac:dyDescent="0.25">
      <c r="A35" s="82"/>
      <c r="B35" s="799"/>
      <c r="C35" s="507"/>
      <c r="D35" s="291"/>
      <c r="E35" s="814"/>
      <c r="F35" s="558"/>
      <c r="G35" s="507"/>
      <c r="H35" s="291"/>
      <c r="I35" s="814"/>
      <c r="J35" s="558"/>
      <c r="K35" s="507"/>
      <c r="L35" s="291"/>
      <c r="M35" s="814"/>
      <c r="N35" s="558"/>
      <c r="O35" s="507"/>
      <c r="P35" s="291"/>
      <c r="Q35" s="814"/>
      <c r="R35" s="291"/>
      <c r="T35" s="78"/>
      <c r="U35" s="77"/>
    </row>
    <row r="36" spans="1:23" x14ac:dyDescent="0.25">
      <c r="A36" s="493">
        <f>ANALÍTICO!C170</f>
        <v>5</v>
      </c>
      <c r="B36" s="494" t="str">
        <f>ANALÍTICO!D170</f>
        <v>PAREDES E PAINÉIS</v>
      </c>
      <c r="C36" s="829"/>
      <c r="D36" s="521"/>
      <c r="E36" s="505"/>
      <c r="F36" s="495"/>
      <c r="G36" s="829"/>
      <c r="H36" s="521"/>
      <c r="I36" s="505"/>
      <c r="J36" s="495"/>
      <c r="K36" s="829"/>
      <c r="L36" s="521"/>
      <c r="M36" s="505"/>
      <c r="N36" s="495"/>
      <c r="O36" s="829"/>
      <c r="P36" s="521"/>
      <c r="Q36" s="505"/>
      <c r="R36" s="521"/>
      <c r="T36" s="500">
        <f>SUM(T37:T40)</f>
        <v>96615.25</v>
      </c>
      <c r="U36" s="501"/>
      <c r="W36" s="541">
        <f>RESUMO!C16</f>
        <v>96615.25</v>
      </c>
    </row>
    <row r="37" spans="1:23" x14ac:dyDescent="0.25">
      <c r="A37" s="81"/>
      <c r="B37" s="202" t="str">
        <f>ANALÍTICO!D172</f>
        <v>PAVIMENTO SUB SOLO</v>
      </c>
      <c r="C37" s="506">
        <v>1</v>
      </c>
      <c r="D37" s="489">
        <f>C37*T37</f>
        <v>8033.46</v>
      </c>
      <c r="E37" s="813"/>
      <c r="F37" s="835"/>
      <c r="G37" s="514"/>
      <c r="H37" s="496"/>
      <c r="I37" s="813"/>
      <c r="J37" s="835"/>
      <c r="K37" s="514"/>
      <c r="L37" s="496"/>
      <c r="M37" s="813"/>
      <c r="N37" s="835"/>
      <c r="O37" s="514"/>
      <c r="P37" s="496"/>
      <c r="Q37" s="813"/>
      <c r="R37" s="496"/>
      <c r="T37" s="78">
        <f>SUM(ANALÍTICO!O176:O180)</f>
        <v>8033.46</v>
      </c>
      <c r="U37" s="499">
        <f>C37+E37+G37+I37+K37+M37+O37+Q37</f>
        <v>1</v>
      </c>
      <c r="W37" s="79">
        <f>D37+F37+H37+J37+L37+N37+P37+R37</f>
        <v>8033.46</v>
      </c>
    </row>
    <row r="38" spans="1:23" x14ac:dyDescent="0.25">
      <c r="A38" s="81"/>
      <c r="B38" s="202" t="str">
        <f>ANALÍTICO!D183</f>
        <v>PAVIMENTO TERREO</v>
      </c>
      <c r="C38" s="514"/>
      <c r="D38" s="496"/>
      <c r="E38" s="812">
        <v>1</v>
      </c>
      <c r="F38" s="834">
        <f>E38*T38</f>
        <v>21948.739999999998</v>
      </c>
      <c r="G38" s="514"/>
      <c r="H38" s="496"/>
      <c r="I38" s="813"/>
      <c r="J38" s="835"/>
      <c r="K38" s="514"/>
      <c r="L38" s="496"/>
      <c r="M38" s="813"/>
      <c r="N38" s="835"/>
      <c r="O38" s="514"/>
      <c r="P38" s="496"/>
      <c r="Q38" s="813"/>
      <c r="R38" s="496"/>
      <c r="T38" s="78">
        <f>SUM(ANALÍTICO!O187:O202)</f>
        <v>21948.739999999998</v>
      </c>
      <c r="U38" s="499">
        <f>C38+E38+G38+I38+K38+M38+O38+Q38</f>
        <v>1</v>
      </c>
      <c r="W38" s="79">
        <f>D38+F38+H38+J38+L38+N38+P38+R38</f>
        <v>21948.739999999998</v>
      </c>
    </row>
    <row r="39" spans="1:23" x14ac:dyDescent="0.25">
      <c r="A39" s="81"/>
      <c r="B39" s="202" t="str">
        <f>ANALÍTICO!D204</f>
        <v>PRIMEIRO PAVIMENTO</v>
      </c>
      <c r="C39" s="514"/>
      <c r="D39" s="496"/>
      <c r="E39" s="813"/>
      <c r="F39" s="835"/>
      <c r="G39" s="506">
        <v>1</v>
      </c>
      <c r="H39" s="489">
        <f>G39*T39</f>
        <v>33550.71</v>
      </c>
      <c r="I39" s="813"/>
      <c r="J39" s="835"/>
      <c r="K39" s="514"/>
      <c r="L39" s="496"/>
      <c r="M39" s="813"/>
      <c r="N39" s="835"/>
      <c r="O39" s="514"/>
      <c r="P39" s="496"/>
      <c r="Q39" s="813"/>
      <c r="R39" s="496"/>
      <c r="T39" s="78">
        <f>SUM(ANALÍTICO!O207:O226)</f>
        <v>33550.71</v>
      </c>
      <c r="U39" s="499">
        <f>C39+E39+G39+I39+K39+M39+O39+Q39</f>
        <v>1</v>
      </c>
      <c r="W39" s="79">
        <f>D39+F39+H39+J39+L39+N39+P39+R39</f>
        <v>33550.71</v>
      </c>
    </row>
    <row r="40" spans="1:23" x14ac:dyDescent="0.25">
      <c r="A40" s="81"/>
      <c r="B40" s="202" t="str">
        <f>ANALÍTICO!D228</f>
        <v>SEGUNDO PAVIMENTO</v>
      </c>
      <c r="C40" s="514"/>
      <c r="D40" s="496"/>
      <c r="E40" s="813"/>
      <c r="F40" s="835"/>
      <c r="G40" s="514"/>
      <c r="H40" s="496"/>
      <c r="I40" s="822">
        <v>1</v>
      </c>
      <c r="J40" s="842">
        <f>I40*T40</f>
        <v>33082.339999999997</v>
      </c>
      <c r="K40" s="514"/>
      <c r="L40" s="496"/>
      <c r="M40" s="813"/>
      <c r="N40" s="835"/>
      <c r="O40" s="514"/>
      <c r="P40" s="496"/>
      <c r="Q40" s="813"/>
      <c r="R40" s="496"/>
      <c r="T40" s="78">
        <f>SUM(ANALÍTICO!O231:O249)</f>
        <v>33082.339999999997</v>
      </c>
      <c r="U40" s="499">
        <f>C40+E40+G40+I40+K40+M40+O40+Q40</f>
        <v>1</v>
      </c>
      <c r="W40" s="79">
        <f>D40+F40+H40+J40+L40+N40+P40+R40</f>
        <v>33082.339999999997</v>
      </c>
    </row>
    <row r="41" spans="1:23" x14ac:dyDescent="0.25">
      <c r="A41" s="82"/>
      <c r="B41" s="799"/>
      <c r="C41" s="507"/>
      <c r="D41" s="291"/>
      <c r="E41" s="814"/>
      <c r="F41" s="558"/>
      <c r="G41" s="507"/>
      <c r="H41" s="291"/>
      <c r="I41" s="814"/>
      <c r="J41" s="558"/>
      <c r="K41" s="507"/>
      <c r="L41" s="291"/>
      <c r="M41" s="814"/>
      <c r="N41" s="558"/>
      <c r="O41" s="507"/>
      <c r="P41" s="291"/>
      <c r="Q41" s="814"/>
      <c r="R41" s="291"/>
      <c r="T41" s="78"/>
      <c r="U41" s="77"/>
    </row>
    <row r="42" spans="1:23" x14ac:dyDescent="0.25">
      <c r="A42" s="493">
        <f>ANALÍTICO!C251</f>
        <v>6</v>
      </c>
      <c r="B42" s="494" t="str">
        <f>ANALÍTICO!D251</f>
        <v>ESQUADRIAS</v>
      </c>
      <c r="C42" s="829"/>
      <c r="D42" s="521"/>
      <c r="E42" s="505"/>
      <c r="F42" s="495"/>
      <c r="G42" s="829"/>
      <c r="H42" s="521"/>
      <c r="I42" s="505"/>
      <c r="J42" s="495"/>
      <c r="K42" s="829"/>
      <c r="L42" s="521"/>
      <c r="M42" s="505"/>
      <c r="N42" s="495"/>
      <c r="O42" s="829"/>
      <c r="P42" s="521"/>
      <c r="Q42" s="505"/>
      <c r="R42" s="521"/>
      <c r="T42" s="500">
        <f>SUM(T44:T59)</f>
        <v>132357.4</v>
      </c>
      <c r="U42" s="501"/>
      <c r="W42" s="541">
        <f>ANALÍTICO!O251</f>
        <v>132357.4</v>
      </c>
    </row>
    <row r="43" spans="1:23" x14ac:dyDescent="0.25">
      <c r="A43" s="528"/>
      <c r="B43" s="801" t="str">
        <f>ANALÍTICO!D253</f>
        <v>PAVIMENTO SUB SOLO</v>
      </c>
      <c r="C43" s="529"/>
      <c r="D43" s="530"/>
      <c r="E43" s="817"/>
      <c r="F43" s="838"/>
      <c r="G43" s="529"/>
      <c r="H43" s="530"/>
      <c r="I43" s="817"/>
      <c r="J43" s="838"/>
      <c r="K43" s="529"/>
      <c r="L43" s="530"/>
      <c r="M43" s="817"/>
      <c r="N43" s="838"/>
      <c r="O43" s="529"/>
      <c r="P43" s="530"/>
      <c r="Q43" s="817"/>
      <c r="R43" s="530"/>
      <c r="T43" s="78"/>
      <c r="U43" s="89"/>
    </row>
    <row r="44" spans="1:23" x14ac:dyDescent="0.25">
      <c r="A44" s="81"/>
      <c r="B44" s="802" t="s">
        <v>998</v>
      </c>
      <c r="C44" s="514"/>
      <c r="D44" s="496"/>
      <c r="E44" s="812">
        <v>1</v>
      </c>
      <c r="F44" s="834">
        <f>E44*T44</f>
        <v>2582.84</v>
      </c>
      <c r="G44" s="514"/>
      <c r="H44" s="496"/>
      <c r="I44" s="813"/>
      <c r="J44" s="835"/>
      <c r="K44" s="514"/>
      <c r="L44" s="496"/>
      <c r="M44" s="813"/>
      <c r="N44" s="835"/>
      <c r="O44" s="514"/>
      <c r="P44" s="496"/>
      <c r="Q44" s="813"/>
      <c r="R44" s="496"/>
      <c r="T44" s="78">
        <f>ANALÍTICO!O257+ANALÍTICO!O261</f>
        <v>2582.84</v>
      </c>
      <c r="U44" s="499">
        <f>C44+E44+G44+I44+K44+M44+O44+Q44</f>
        <v>1</v>
      </c>
      <c r="W44" s="79">
        <f>D44+F44+H44+J44+L44+N44+P44+R44</f>
        <v>2582.84</v>
      </c>
    </row>
    <row r="45" spans="1:23" x14ac:dyDescent="0.25">
      <c r="A45" s="82"/>
      <c r="B45" s="479"/>
      <c r="C45" s="510"/>
      <c r="D45" s="492"/>
      <c r="E45" s="818"/>
      <c r="F45" s="839"/>
      <c r="G45" s="510"/>
      <c r="H45" s="492"/>
      <c r="I45" s="818"/>
      <c r="J45" s="839"/>
      <c r="K45" s="510"/>
      <c r="L45" s="492"/>
      <c r="M45" s="818"/>
      <c r="N45" s="839"/>
      <c r="O45" s="510"/>
      <c r="P45" s="492"/>
      <c r="Q45" s="818"/>
      <c r="R45" s="492"/>
      <c r="T45" s="78"/>
      <c r="U45" s="89"/>
    </row>
    <row r="46" spans="1:23" x14ac:dyDescent="0.25">
      <c r="A46" s="525"/>
      <c r="B46" s="803" t="str">
        <f>ANALÍTICO!D263</f>
        <v>PAVIMENTO TERREO</v>
      </c>
      <c r="C46" s="526"/>
      <c r="D46" s="527"/>
      <c r="E46" s="819"/>
      <c r="F46" s="840"/>
      <c r="G46" s="526"/>
      <c r="H46" s="527"/>
      <c r="I46" s="819"/>
      <c r="J46" s="840"/>
      <c r="K46" s="526"/>
      <c r="L46" s="527"/>
      <c r="M46" s="819"/>
      <c r="N46" s="840"/>
      <c r="O46" s="526"/>
      <c r="P46" s="527"/>
      <c r="Q46" s="819"/>
      <c r="R46" s="527"/>
      <c r="T46" s="78"/>
      <c r="U46" s="89"/>
    </row>
    <row r="47" spans="1:23" x14ac:dyDescent="0.25">
      <c r="A47" s="81"/>
      <c r="B47" s="802" t="str">
        <f>ANALÍTICO!D265</f>
        <v>ESQUADRIAS DE MADEIRA</v>
      </c>
      <c r="C47" s="514"/>
      <c r="D47" s="496"/>
      <c r="E47" s="813"/>
      <c r="F47" s="835"/>
      <c r="G47" s="506">
        <v>1</v>
      </c>
      <c r="H47" s="489">
        <f>G47*T47</f>
        <v>12366.59</v>
      </c>
      <c r="I47" s="813"/>
      <c r="J47" s="835"/>
      <c r="K47" s="514"/>
      <c r="L47" s="496"/>
      <c r="M47" s="813"/>
      <c r="N47" s="835"/>
      <c r="O47" s="514"/>
      <c r="P47" s="496"/>
      <c r="Q47" s="813"/>
      <c r="R47" s="496"/>
      <c r="T47" s="78">
        <f>SUM(ANALÍTICO!O267:O275)</f>
        <v>12366.59</v>
      </c>
      <c r="U47" s="499">
        <f>C47+E47+G47+I47+K47+M47+O47+Q47</f>
        <v>1</v>
      </c>
      <c r="W47" s="79">
        <f>D47+F47+H47+J47+L47+N47+P47+R47</f>
        <v>12366.59</v>
      </c>
    </row>
    <row r="48" spans="1:23" x14ac:dyDescent="0.25">
      <c r="A48" s="81"/>
      <c r="B48" s="802" t="str">
        <f>ANALÍTICO!D277</f>
        <v xml:space="preserve">ESQUADRIAS DE VIDRO TEMPERADO </v>
      </c>
      <c r="C48" s="514"/>
      <c r="D48" s="496"/>
      <c r="E48" s="813"/>
      <c r="F48" s="835"/>
      <c r="G48" s="506">
        <v>1</v>
      </c>
      <c r="H48" s="489">
        <f>G48*T48</f>
        <v>24837.729999999996</v>
      </c>
      <c r="I48" s="813"/>
      <c r="J48" s="835"/>
      <c r="K48" s="514"/>
      <c r="L48" s="496"/>
      <c r="M48" s="813"/>
      <c r="N48" s="835"/>
      <c r="O48" s="514"/>
      <c r="P48" s="496"/>
      <c r="Q48" s="813"/>
      <c r="R48" s="496"/>
      <c r="T48" s="78">
        <f>SUM(ANALÍTICO!O279:O342)</f>
        <v>24837.729999999996</v>
      </c>
      <c r="U48" s="499">
        <f>C48+E48+G48+I48+K48+M48+O48+Q48</f>
        <v>1</v>
      </c>
      <c r="W48" s="79">
        <f>D48+F48+H48+J48+L48+N48+P48+R48</f>
        <v>24837.729999999996</v>
      </c>
    </row>
    <row r="49" spans="1:23" x14ac:dyDescent="0.25">
      <c r="A49" s="81"/>
      <c r="B49" s="802" t="str">
        <f>ANALÍTICO!D344</f>
        <v>ESQUADRIAS METÁLICAS</v>
      </c>
      <c r="C49" s="514"/>
      <c r="D49" s="496"/>
      <c r="E49" s="813"/>
      <c r="F49" s="835"/>
      <c r="G49" s="506">
        <v>1</v>
      </c>
      <c r="H49" s="489">
        <f>T49*G49</f>
        <v>1430.58</v>
      </c>
      <c r="I49" s="813"/>
      <c r="J49" s="835"/>
      <c r="K49" s="514"/>
      <c r="L49" s="496"/>
      <c r="M49" s="813"/>
      <c r="N49" s="835"/>
      <c r="O49" s="514"/>
      <c r="P49" s="496"/>
      <c r="Q49" s="813"/>
      <c r="R49" s="496"/>
      <c r="T49" s="78">
        <f>SUM(ANALÍTICO!O346:O349)</f>
        <v>1430.58</v>
      </c>
      <c r="U49" s="499">
        <f>C49+E49+G49+I49+K49+M49+O49+Q49</f>
        <v>1</v>
      </c>
      <c r="W49" s="79">
        <f>D49+F49+H49+J49+L49+N49+P49+R49</f>
        <v>1430.58</v>
      </c>
    </row>
    <row r="50" spans="1:23" x14ac:dyDescent="0.25">
      <c r="A50" s="83"/>
      <c r="B50" s="800"/>
      <c r="C50" s="531"/>
      <c r="D50" s="532"/>
      <c r="E50" s="820"/>
      <c r="F50" s="841"/>
      <c r="G50" s="531"/>
      <c r="H50" s="532"/>
      <c r="I50" s="820"/>
      <c r="J50" s="841"/>
      <c r="K50" s="531"/>
      <c r="L50" s="532"/>
      <c r="M50" s="820"/>
      <c r="N50" s="841"/>
      <c r="O50" s="531"/>
      <c r="P50" s="532"/>
      <c r="Q50" s="820"/>
      <c r="R50" s="532"/>
      <c r="T50" s="78"/>
      <c r="U50" s="89"/>
    </row>
    <row r="51" spans="1:23" x14ac:dyDescent="0.25">
      <c r="A51" s="528"/>
      <c r="B51" s="801" t="str">
        <f>ANALÍTICO!D350</f>
        <v>PRIMEIRO PAVIMENTO</v>
      </c>
      <c r="C51" s="529"/>
      <c r="D51" s="530"/>
      <c r="E51" s="817"/>
      <c r="F51" s="838"/>
      <c r="G51" s="529"/>
      <c r="H51" s="530"/>
      <c r="I51" s="817"/>
      <c r="J51" s="838"/>
      <c r="K51" s="529"/>
      <c r="L51" s="530"/>
      <c r="M51" s="817"/>
      <c r="N51" s="838"/>
      <c r="O51" s="529"/>
      <c r="P51" s="530"/>
      <c r="Q51" s="817"/>
      <c r="R51" s="530"/>
      <c r="T51" s="78"/>
      <c r="U51" s="89"/>
    </row>
    <row r="52" spans="1:23" x14ac:dyDescent="0.25">
      <c r="A52" s="81"/>
      <c r="B52" s="802" t="str">
        <f>ANALÍTICO!D352</f>
        <v>ESQUADRIAS DE MADEIRA</v>
      </c>
      <c r="C52" s="514"/>
      <c r="D52" s="496"/>
      <c r="E52" s="813"/>
      <c r="F52" s="835"/>
      <c r="G52" s="514"/>
      <c r="H52" s="496"/>
      <c r="I52" s="812">
        <v>1</v>
      </c>
      <c r="J52" s="834">
        <f>I52*T52</f>
        <v>29305.869999999995</v>
      </c>
      <c r="K52" s="514"/>
      <c r="L52" s="496"/>
      <c r="M52" s="813"/>
      <c r="N52" s="835"/>
      <c r="O52" s="514"/>
      <c r="P52" s="496"/>
      <c r="Q52" s="813"/>
      <c r="R52" s="496"/>
      <c r="T52" s="78">
        <f>SUM(ANALÍTICO!O354:O362)</f>
        <v>29305.869999999995</v>
      </c>
      <c r="U52" s="499">
        <f>C52+E52+G52+I52+K52+M52+O52+Q52</f>
        <v>1</v>
      </c>
      <c r="W52" s="79">
        <f>D52+F52+H52+J52+L52+N52+P52+R52</f>
        <v>29305.869999999995</v>
      </c>
    </row>
    <row r="53" spans="1:23" ht="30" x14ac:dyDescent="0.25">
      <c r="A53" s="81"/>
      <c r="B53" s="802" t="str">
        <f>ANALÍTICO!D364</f>
        <v>ESQUADRIAS DE VIDRO TEMPERADO 10MM</v>
      </c>
      <c r="C53" s="514"/>
      <c r="D53" s="496"/>
      <c r="E53" s="813"/>
      <c r="F53" s="835"/>
      <c r="G53" s="514"/>
      <c r="H53" s="496"/>
      <c r="I53" s="812">
        <v>1</v>
      </c>
      <c r="J53" s="834">
        <f>I53*T53</f>
        <v>13795.33</v>
      </c>
      <c r="K53" s="514"/>
      <c r="L53" s="496"/>
      <c r="M53" s="813"/>
      <c r="N53" s="835"/>
      <c r="O53" s="514"/>
      <c r="P53" s="496"/>
      <c r="Q53" s="813"/>
      <c r="R53" s="496"/>
      <c r="T53" s="78">
        <f>SUM(ANALÍTICO!O366:O408)</f>
        <v>13795.33</v>
      </c>
      <c r="U53" s="499">
        <f>C53+E53+G53+I53+K53+M53+O53+Q53</f>
        <v>1</v>
      </c>
      <c r="W53" s="79">
        <f>D53+F53+H53+J53+L53+N53+P53+R53</f>
        <v>13795.33</v>
      </c>
    </row>
    <row r="54" spans="1:23" x14ac:dyDescent="0.25">
      <c r="A54" s="81"/>
      <c r="B54" s="802" t="str">
        <f>ANALÍTICO!D410</f>
        <v>ESQUADRIAS METÁLICAS</v>
      </c>
      <c r="C54" s="514"/>
      <c r="D54" s="496"/>
      <c r="E54" s="813"/>
      <c r="F54" s="835"/>
      <c r="G54" s="514"/>
      <c r="H54" s="496"/>
      <c r="I54" s="813"/>
      <c r="J54" s="835"/>
      <c r="K54" s="506">
        <v>1</v>
      </c>
      <c r="L54" s="489">
        <f>K54*T54</f>
        <v>7220.4</v>
      </c>
      <c r="M54" s="813"/>
      <c r="N54" s="835"/>
      <c r="O54" s="514"/>
      <c r="P54" s="496"/>
      <c r="Q54" s="813"/>
      <c r="R54" s="496"/>
      <c r="T54" s="78">
        <f>SUM(ANALÍTICO!O412:O422)</f>
        <v>7220.4</v>
      </c>
      <c r="U54" s="499">
        <f>C54+E54+G54+I54+K54+M54+O54+Q54</f>
        <v>1</v>
      </c>
      <c r="W54" s="79">
        <f>D54+F54+H54+J54+L54+N54+P54+R54</f>
        <v>7220.4</v>
      </c>
    </row>
    <row r="55" spans="1:23" x14ac:dyDescent="0.25">
      <c r="A55" s="82"/>
      <c r="B55" s="479"/>
      <c r="C55" s="510"/>
      <c r="D55" s="492"/>
      <c r="E55" s="818"/>
      <c r="F55" s="839"/>
      <c r="G55" s="510"/>
      <c r="H55" s="492"/>
      <c r="I55" s="818"/>
      <c r="J55" s="839"/>
      <c r="K55" s="510"/>
      <c r="L55" s="492"/>
      <c r="M55" s="818"/>
      <c r="N55" s="839"/>
      <c r="O55" s="510"/>
      <c r="P55" s="492"/>
      <c r="Q55" s="818"/>
      <c r="R55" s="492"/>
      <c r="T55" s="78"/>
      <c r="U55" s="89"/>
    </row>
    <row r="56" spans="1:23" x14ac:dyDescent="0.25">
      <c r="A56" s="528"/>
      <c r="B56" s="801" t="str">
        <f>ANALÍTICO!D423</f>
        <v>SEGUNDO PAVIMENTO</v>
      </c>
      <c r="C56" s="529"/>
      <c r="D56" s="530"/>
      <c r="E56" s="817"/>
      <c r="F56" s="838"/>
      <c r="G56" s="529"/>
      <c r="H56" s="530"/>
      <c r="I56" s="817"/>
      <c r="J56" s="838"/>
      <c r="K56" s="529"/>
      <c r="L56" s="530"/>
      <c r="M56" s="817"/>
      <c r="N56" s="838"/>
      <c r="O56" s="529"/>
      <c r="P56" s="530"/>
      <c r="Q56" s="817"/>
      <c r="R56" s="530"/>
      <c r="T56" s="78"/>
      <c r="U56" s="89"/>
    </row>
    <row r="57" spans="1:23" x14ac:dyDescent="0.25">
      <c r="A57" s="81"/>
      <c r="B57" s="802" t="str">
        <f>ANALÍTICO!D425</f>
        <v>ESQUADRIAS DE MADEIRA</v>
      </c>
      <c r="C57" s="514"/>
      <c r="D57" s="496"/>
      <c r="E57" s="813"/>
      <c r="F57" s="835"/>
      <c r="G57" s="514"/>
      <c r="H57" s="496"/>
      <c r="I57" s="813"/>
      <c r="J57" s="835"/>
      <c r="K57" s="506">
        <v>1</v>
      </c>
      <c r="L57" s="489">
        <f>K57*T57</f>
        <v>23946.65</v>
      </c>
      <c r="M57" s="813"/>
      <c r="N57" s="835"/>
      <c r="O57" s="514"/>
      <c r="P57" s="496"/>
      <c r="Q57" s="813"/>
      <c r="R57" s="496"/>
      <c r="T57" s="78">
        <f>SUM(ANALÍTICO!O427:O436)</f>
        <v>23946.65</v>
      </c>
      <c r="U57" s="499">
        <f>C57+E57+G57+I57+K57+M57+O57+Q57</f>
        <v>1</v>
      </c>
      <c r="W57" s="79">
        <f>D57+F57+H57+J57+L57+N57+P57+R57</f>
        <v>23946.65</v>
      </c>
    </row>
    <row r="58" spans="1:23" ht="30" x14ac:dyDescent="0.25">
      <c r="A58" s="81"/>
      <c r="B58" s="802" t="str">
        <f>ANALÍTICO!D437</f>
        <v>ESQUADRIAS DE VIDRO TEMPERADO 10MM</v>
      </c>
      <c r="C58" s="514"/>
      <c r="D58" s="496"/>
      <c r="E58" s="813"/>
      <c r="F58" s="835"/>
      <c r="G58" s="514"/>
      <c r="H58" s="496"/>
      <c r="I58" s="813"/>
      <c r="J58" s="835"/>
      <c r="K58" s="514"/>
      <c r="L58" s="496"/>
      <c r="M58" s="812">
        <v>1</v>
      </c>
      <c r="N58" s="834">
        <f>M58*T58</f>
        <v>14416.949999999999</v>
      </c>
      <c r="O58" s="514"/>
      <c r="P58" s="496"/>
      <c r="Q58" s="813"/>
      <c r="R58" s="496"/>
      <c r="T58" s="78">
        <f>SUM(ANALÍTICO!O439:O476)</f>
        <v>14416.949999999999</v>
      </c>
      <c r="U58" s="499">
        <f>C58+E58+G58+I58+K58+M58+O58+Q58</f>
        <v>1</v>
      </c>
      <c r="W58" s="79">
        <f>D58+F58+H58+J58+L58+N58+P58+R58</f>
        <v>14416.949999999999</v>
      </c>
    </row>
    <row r="59" spans="1:23" x14ac:dyDescent="0.25">
      <c r="A59" s="81"/>
      <c r="B59" s="802" t="str">
        <f>ANALÍTICO!D477</f>
        <v>ESQUADRIAS METÁLICAS</v>
      </c>
      <c r="C59" s="514"/>
      <c r="D59" s="496"/>
      <c r="E59" s="813"/>
      <c r="F59" s="835"/>
      <c r="G59" s="514"/>
      <c r="H59" s="496"/>
      <c r="I59" s="813"/>
      <c r="J59" s="835"/>
      <c r="K59" s="514"/>
      <c r="L59" s="496"/>
      <c r="M59" s="812">
        <v>1</v>
      </c>
      <c r="N59" s="834">
        <f>M59*T59</f>
        <v>2454.46</v>
      </c>
      <c r="O59" s="514"/>
      <c r="P59" s="496"/>
      <c r="Q59" s="813"/>
      <c r="R59" s="496"/>
      <c r="T59" s="78">
        <f>SUM(ANALÍTICO!O479:O484)</f>
        <v>2454.46</v>
      </c>
      <c r="U59" s="499">
        <f>C59+E59+G59+I59+K59+M59+O59+Q59</f>
        <v>1</v>
      </c>
      <c r="W59" s="79">
        <f>D59+F59+H59+J59+L59+N59+P59+R59</f>
        <v>2454.46</v>
      </c>
    </row>
    <row r="60" spans="1:23" x14ac:dyDescent="0.25">
      <c r="A60" s="82"/>
      <c r="B60" s="479"/>
      <c r="C60" s="507"/>
      <c r="D60" s="291"/>
      <c r="E60" s="814"/>
      <c r="F60" s="558"/>
      <c r="G60" s="507"/>
      <c r="H60" s="291"/>
      <c r="I60" s="814"/>
      <c r="J60" s="558"/>
      <c r="K60" s="507"/>
      <c r="L60" s="291"/>
      <c r="M60" s="814"/>
      <c r="N60" s="558"/>
      <c r="O60" s="507"/>
      <c r="P60" s="291"/>
      <c r="Q60" s="814"/>
      <c r="R60" s="291"/>
      <c r="T60" s="78"/>
      <c r="U60" s="89"/>
    </row>
    <row r="61" spans="1:23" x14ac:dyDescent="0.25">
      <c r="A61" s="533"/>
      <c r="B61" s="479"/>
      <c r="C61" s="534"/>
      <c r="D61" s="310"/>
      <c r="E61" s="821"/>
      <c r="F61" s="563"/>
      <c r="G61" s="534"/>
      <c r="H61" s="310"/>
      <c r="I61" s="821"/>
      <c r="J61" s="563"/>
      <c r="K61" s="534"/>
      <c r="L61" s="310"/>
      <c r="M61" s="821"/>
      <c r="N61" s="563"/>
      <c r="O61" s="534"/>
      <c r="P61" s="310"/>
      <c r="Q61" s="821"/>
      <c r="R61" s="310"/>
      <c r="T61" s="78"/>
      <c r="U61" s="77"/>
    </row>
    <row r="62" spans="1:23" x14ac:dyDescent="0.25">
      <c r="A62" s="493">
        <f>ANALÍTICO!C486</f>
        <v>7</v>
      </c>
      <c r="B62" s="494" t="str">
        <f>ANALÍTICO!D486</f>
        <v>COBERTURA</v>
      </c>
      <c r="C62" s="829"/>
      <c r="D62" s="521"/>
      <c r="E62" s="505"/>
      <c r="F62" s="495"/>
      <c r="G62" s="829"/>
      <c r="H62" s="521"/>
      <c r="I62" s="505"/>
      <c r="J62" s="495"/>
      <c r="K62" s="829"/>
      <c r="L62" s="521"/>
      <c r="M62" s="505"/>
      <c r="N62" s="495"/>
      <c r="O62" s="829"/>
      <c r="P62" s="521"/>
      <c r="Q62" s="505"/>
      <c r="R62" s="521"/>
      <c r="T62" s="500">
        <f>SUM(T63:T67)</f>
        <v>26099.739999999998</v>
      </c>
      <c r="U62" s="501"/>
      <c r="W62" s="541">
        <f>ANALÍTICO!O486</f>
        <v>26099.74</v>
      </c>
    </row>
    <row r="63" spans="1:23" ht="45" x14ac:dyDescent="0.25">
      <c r="A63" s="81"/>
      <c r="B63" s="201" t="s">
        <v>91</v>
      </c>
      <c r="C63" s="514"/>
      <c r="D63" s="496"/>
      <c r="E63" s="813"/>
      <c r="F63" s="835"/>
      <c r="G63" s="506">
        <v>1</v>
      </c>
      <c r="H63" s="489">
        <f>G63*T63</f>
        <v>3901.97</v>
      </c>
      <c r="I63" s="813"/>
      <c r="J63" s="835"/>
      <c r="K63" s="514"/>
      <c r="L63" s="496"/>
      <c r="M63" s="813"/>
      <c r="N63" s="835"/>
      <c r="O63" s="514"/>
      <c r="P63" s="496"/>
      <c r="Q63" s="813"/>
      <c r="R63" s="496"/>
      <c r="T63" s="78">
        <f>SUM(ANALÍTICO!O488)</f>
        <v>3901.97</v>
      </c>
      <c r="U63" s="499">
        <f>C63+E63+G63+I63+K63+M63+O63+Q63</f>
        <v>1</v>
      </c>
      <c r="W63" s="79">
        <f>D63+F63+H63+J63+L63+N63+P63+R63</f>
        <v>3901.97</v>
      </c>
    </row>
    <row r="64" spans="1:23" x14ac:dyDescent="0.25">
      <c r="A64" s="81"/>
      <c r="B64" s="202" t="s">
        <v>92</v>
      </c>
      <c r="C64" s="514"/>
      <c r="D64" s="496"/>
      <c r="E64" s="813"/>
      <c r="F64" s="835"/>
      <c r="G64" s="506">
        <v>1</v>
      </c>
      <c r="H64" s="489">
        <f>G64*T64</f>
        <v>8939.36</v>
      </c>
      <c r="I64" s="813"/>
      <c r="J64" s="835"/>
      <c r="K64" s="514"/>
      <c r="L64" s="496"/>
      <c r="M64" s="813"/>
      <c r="N64" s="835"/>
      <c r="O64" s="514"/>
      <c r="P64" s="496"/>
      <c r="Q64" s="813"/>
      <c r="R64" s="496"/>
      <c r="T64" s="78">
        <f>SUM(ANALÍTICO!O494)</f>
        <v>8939.36</v>
      </c>
      <c r="U64" s="499">
        <f>C64+E64+G64+I64+K64+M64+O64+Q64</f>
        <v>1</v>
      </c>
      <c r="W64" s="79">
        <f>D64+F64+H64+J64+L64+N64+P64+R64</f>
        <v>8939.36</v>
      </c>
    </row>
    <row r="65" spans="1:23" ht="45" x14ac:dyDescent="0.25">
      <c r="A65" s="81"/>
      <c r="B65" s="201" t="s">
        <v>93</v>
      </c>
      <c r="C65" s="514"/>
      <c r="D65" s="496"/>
      <c r="E65" s="813"/>
      <c r="F65" s="835"/>
      <c r="G65" s="506">
        <v>1</v>
      </c>
      <c r="H65" s="489">
        <f>G65*T65</f>
        <v>763.43</v>
      </c>
      <c r="I65" s="813"/>
      <c r="J65" s="835"/>
      <c r="K65" s="514"/>
      <c r="L65" s="496"/>
      <c r="M65" s="813"/>
      <c r="N65" s="835"/>
      <c r="O65" s="514"/>
      <c r="P65" s="496"/>
      <c r="Q65" s="813"/>
      <c r="R65" s="496"/>
      <c r="T65" s="78">
        <f>SUM(ANALÍTICO!O502)</f>
        <v>763.43</v>
      </c>
      <c r="U65" s="499">
        <f>C65+E65+G65+I65+K65+M65+O65+Q65</f>
        <v>1</v>
      </c>
      <c r="W65" s="79">
        <f>D65+F65+H65+J65+L65+N65+P65+R65</f>
        <v>763.43</v>
      </c>
    </row>
    <row r="66" spans="1:23" ht="30" x14ac:dyDescent="0.25">
      <c r="A66" s="83"/>
      <c r="B66" s="800" t="s">
        <v>94</v>
      </c>
      <c r="C66" s="514"/>
      <c r="D66" s="496"/>
      <c r="E66" s="813"/>
      <c r="F66" s="835"/>
      <c r="G66" s="514"/>
      <c r="H66" s="496"/>
      <c r="I66" s="812">
        <v>1</v>
      </c>
      <c r="J66" s="834">
        <f>I66*T66</f>
        <v>7425.08</v>
      </c>
      <c r="K66" s="514"/>
      <c r="L66" s="496"/>
      <c r="M66" s="813"/>
      <c r="N66" s="835"/>
      <c r="O66" s="514"/>
      <c r="P66" s="496"/>
      <c r="Q66" s="813"/>
      <c r="R66" s="496"/>
      <c r="T66" s="78">
        <f>SUM(ANALÍTICO!O508)</f>
        <v>7425.08</v>
      </c>
      <c r="U66" s="499">
        <f>C66+E66+G66+I66+K66+M66+O66+Q66</f>
        <v>1</v>
      </c>
      <c r="W66" s="79">
        <f>D66+F66+H66+J66+L66+N66+P66+R66</f>
        <v>7425.08</v>
      </c>
    </row>
    <row r="67" spans="1:23" ht="30" x14ac:dyDescent="0.25">
      <c r="A67" s="83"/>
      <c r="B67" s="800" t="s">
        <v>95</v>
      </c>
      <c r="C67" s="514"/>
      <c r="D67" s="496"/>
      <c r="E67" s="813"/>
      <c r="F67" s="835"/>
      <c r="G67" s="514"/>
      <c r="H67" s="496"/>
      <c r="I67" s="813"/>
      <c r="J67" s="835"/>
      <c r="K67" s="514"/>
      <c r="L67" s="496"/>
      <c r="M67" s="813"/>
      <c r="N67" s="835"/>
      <c r="O67" s="535">
        <v>1</v>
      </c>
      <c r="P67" s="536">
        <f>T67*O67</f>
        <v>5069.8999999999996</v>
      </c>
      <c r="Q67" s="813"/>
      <c r="R67" s="496"/>
      <c r="T67" s="78">
        <f>SUM(ANALÍTICO!O510:O513)</f>
        <v>5069.8999999999996</v>
      </c>
      <c r="U67" s="499">
        <f>C67+E67+G67+I67+K67+M67+O67+Q67</f>
        <v>1</v>
      </c>
      <c r="W67" s="79">
        <f>D67+F67+H67+J67+L67+N67+P67+R67</f>
        <v>5069.8999999999996</v>
      </c>
    </row>
    <row r="68" spans="1:23" x14ac:dyDescent="0.25">
      <c r="A68" s="82"/>
      <c r="B68" s="799"/>
      <c r="C68" s="507"/>
      <c r="D68" s="291"/>
      <c r="E68" s="814"/>
      <c r="F68" s="558"/>
      <c r="G68" s="507"/>
      <c r="H68" s="291"/>
      <c r="I68" s="814"/>
      <c r="J68" s="558"/>
      <c r="K68" s="507"/>
      <c r="L68" s="291"/>
      <c r="M68" s="814"/>
      <c r="N68" s="558"/>
      <c r="O68" s="507"/>
      <c r="P68" s="291"/>
      <c r="Q68" s="814"/>
      <c r="R68" s="291"/>
      <c r="T68" s="78"/>
      <c r="U68" s="77"/>
    </row>
    <row r="69" spans="1:23" x14ac:dyDescent="0.25">
      <c r="A69" s="493">
        <f>ANALÍTICO!C516</f>
        <v>8</v>
      </c>
      <c r="B69" s="494" t="str">
        <f>ANALÍTICO!D516</f>
        <v>IMPERMEABILIZAÇÃO</v>
      </c>
      <c r="C69" s="829"/>
      <c r="D69" s="521"/>
      <c r="E69" s="505"/>
      <c r="F69" s="495"/>
      <c r="G69" s="829"/>
      <c r="H69" s="521"/>
      <c r="I69" s="505"/>
      <c r="J69" s="495"/>
      <c r="K69" s="829"/>
      <c r="L69" s="521"/>
      <c r="M69" s="505"/>
      <c r="N69" s="495"/>
      <c r="O69" s="829"/>
      <c r="P69" s="521"/>
      <c r="Q69" s="505"/>
      <c r="R69" s="521"/>
      <c r="T69" s="500">
        <f>T70</f>
        <v>18288.919999999998</v>
      </c>
      <c r="U69" s="501"/>
      <c r="W69" s="541">
        <f>ANALÍTICO!O516</f>
        <v>18288.919999999998</v>
      </c>
    </row>
    <row r="70" spans="1:23" ht="30" x14ac:dyDescent="0.25">
      <c r="A70" s="81"/>
      <c r="B70" s="201" t="s">
        <v>96</v>
      </c>
      <c r="C70" s="514"/>
      <c r="D70" s="496"/>
      <c r="E70" s="813"/>
      <c r="F70" s="835"/>
      <c r="G70" s="514"/>
      <c r="H70" s="496"/>
      <c r="I70" s="813"/>
      <c r="J70" s="835"/>
      <c r="K70" s="509">
        <v>1</v>
      </c>
      <c r="L70" s="491">
        <f>K70*T70</f>
        <v>18288.919999999998</v>
      </c>
      <c r="M70" s="813"/>
      <c r="N70" s="835"/>
      <c r="O70" s="514"/>
      <c r="P70" s="496"/>
      <c r="Q70" s="813"/>
      <c r="R70" s="496"/>
      <c r="T70" s="78">
        <f>SUM(ANALÍTICO!O520:O528)</f>
        <v>18288.919999999998</v>
      </c>
      <c r="U70" s="499">
        <f>C70+E70+G70+I70+K70+M70+O70+Q70</f>
        <v>1</v>
      </c>
      <c r="W70" s="79">
        <f>D70+F70+H70+J70+L70+N70+P70+R70</f>
        <v>18288.919999999998</v>
      </c>
    </row>
    <row r="71" spans="1:23" x14ac:dyDescent="0.25">
      <c r="A71" s="82"/>
      <c r="B71" s="799"/>
      <c r="C71" s="507"/>
      <c r="D71" s="291"/>
      <c r="E71" s="814"/>
      <c r="F71" s="558"/>
      <c r="G71" s="507"/>
      <c r="H71" s="291"/>
      <c r="I71" s="814"/>
      <c r="J71" s="558"/>
      <c r="K71" s="507"/>
      <c r="L71" s="291"/>
      <c r="M71" s="814"/>
      <c r="N71" s="558"/>
      <c r="O71" s="507"/>
      <c r="P71" s="291"/>
      <c r="Q71" s="814"/>
      <c r="R71" s="291"/>
      <c r="T71" s="78"/>
      <c r="U71" s="77"/>
    </row>
    <row r="72" spans="1:23" x14ac:dyDescent="0.25">
      <c r="A72" s="493">
        <f>ANALÍTICO!C530</f>
        <v>9</v>
      </c>
      <c r="B72" s="494" t="str">
        <f>ANALÍTICO!D530</f>
        <v>FORRO</v>
      </c>
      <c r="C72" s="829"/>
      <c r="D72" s="521"/>
      <c r="E72" s="505"/>
      <c r="F72" s="495"/>
      <c r="G72" s="829"/>
      <c r="H72" s="521"/>
      <c r="I72" s="505"/>
      <c r="J72" s="495"/>
      <c r="K72" s="829"/>
      <c r="L72" s="521"/>
      <c r="M72" s="505"/>
      <c r="N72" s="495"/>
      <c r="O72" s="829"/>
      <c r="P72" s="521"/>
      <c r="Q72" s="505"/>
      <c r="R72" s="521"/>
      <c r="T72" s="500">
        <f>SUM(T73:T75)</f>
        <v>80339.95</v>
      </c>
      <c r="U72" s="501"/>
      <c r="W72" s="541">
        <f>ANALÍTICO!O530</f>
        <v>80339.95</v>
      </c>
    </row>
    <row r="73" spans="1:23" x14ac:dyDescent="0.25">
      <c r="A73" s="81"/>
      <c r="B73" s="801" t="str">
        <f>ANALÍTICO!D532</f>
        <v>PAVIMENTO TERREO</v>
      </c>
      <c r="C73" s="514"/>
      <c r="D73" s="496"/>
      <c r="E73" s="813"/>
      <c r="F73" s="835"/>
      <c r="G73" s="514"/>
      <c r="H73" s="496"/>
      <c r="I73" s="813"/>
      <c r="J73" s="835"/>
      <c r="K73" s="509">
        <v>1</v>
      </c>
      <c r="L73" s="491">
        <f>K73*T73</f>
        <v>26970.71</v>
      </c>
      <c r="M73" s="813"/>
      <c r="N73" s="835"/>
      <c r="O73" s="514"/>
      <c r="P73" s="496"/>
      <c r="Q73" s="813"/>
      <c r="R73" s="496"/>
      <c r="T73" s="78">
        <f>SUM(ANALÍTICO!O534)</f>
        <v>26970.71</v>
      </c>
      <c r="U73" s="499">
        <f>C73+E73+G73+I73+K73+M73+O73+Q73</f>
        <v>1</v>
      </c>
      <c r="W73" s="79">
        <f>D73+F73+H73+J73+L73+N73+P73+R73</f>
        <v>26970.71</v>
      </c>
    </row>
    <row r="74" spans="1:23" x14ac:dyDescent="0.25">
      <c r="A74" s="81"/>
      <c r="B74" s="804" t="str">
        <f>ANALÍTICO!D537</f>
        <v>PRIMEIRO PAVIMENTO</v>
      </c>
      <c r="C74" s="514"/>
      <c r="D74" s="496"/>
      <c r="E74" s="813"/>
      <c r="F74" s="835"/>
      <c r="G74" s="514"/>
      <c r="H74" s="496"/>
      <c r="I74" s="813"/>
      <c r="J74" s="835"/>
      <c r="K74" s="509">
        <v>0.25</v>
      </c>
      <c r="L74" s="491">
        <f>K74*T74</f>
        <v>6734.3525</v>
      </c>
      <c r="M74" s="822">
        <v>0.75</v>
      </c>
      <c r="N74" s="842">
        <f>M74*T74</f>
        <v>20203.057499999999</v>
      </c>
      <c r="O74" s="514"/>
      <c r="P74" s="496"/>
      <c r="Q74" s="813"/>
      <c r="R74" s="496"/>
      <c r="T74" s="78">
        <f>SUM(ANALÍTICO!O539)</f>
        <v>26937.41</v>
      </c>
      <c r="U74" s="499">
        <f>C74+E74+G74+I74+K74+M74+O74+Q74</f>
        <v>1</v>
      </c>
      <c r="W74" s="79">
        <f>D74+F74+H74+J74+L74+N74+P74+R74</f>
        <v>26937.41</v>
      </c>
    </row>
    <row r="75" spans="1:23" x14ac:dyDescent="0.25">
      <c r="A75" s="81"/>
      <c r="B75" s="804" t="str">
        <f>ANALÍTICO!D542</f>
        <v>SEGUNDO PAVIMENTO</v>
      </c>
      <c r="C75" s="514"/>
      <c r="D75" s="496"/>
      <c r="E75" s="813"/>
      <c r="F75" s="835"/>
      <c r="G75" s="514"/>
      <c r="H75" s="496"/>
      <c r="I75" s="813"/>
      <c r="J75" s="835"/>
      <c r="K75" s="514"/>
      <c r="L75" s="496"/>
      <c r="M75" s="822">
        <v>1</v>
      </c>
      <c r="N75" s="842">
        <f>M75*T75</f>
        <v>26431.83</v>
      </c>
      <c r="O75" s="514"/>
      <c r="P75" s="496"/>
      <c r="Q75" s="813"/>
      <c r="R75" s="496"/>
      <c r="T75" s="78">
        <f>SUM(ANALÍTICO!O544)</f>
        <v>26431.83</v>
      </c>
      <c r="U75" s="499">
        <f>C75+E75+G75+I75+K75+M75+O75+Q75</f>
        <v>1</v>
      </c>
      <c r="W75" s="79">
        <f>D75+F75+H75+J75+L75+N75+P75+R75</f>
        <v>26431.83</v>
      </c>
    </row>
    <row r="76" spans="1:23" x14ac:dyDescent="0.25">
      <c r="A76" s="82"/>
      <c r="B76" s="799"/>
      <c r="C76" s="507"/>
      <c r="D76" s="291"/>
      <c r="E76" s="814"/>
      <c r="F76" s="558"/>
      <c r="G76" s="507"/>
      <c r="H76" s="291"/>
      <c r="I76" s="814"/>
      <c r="J76" s="558"/>
      <c r="K76" s="507"/>
      <c r="L76" s="291"/>
      <c r="M76" s="814"/>
      <c r="N76" s="558"/>
      <c r="O76" s="507"/>
      <c r="P76" s="291"/>
      <c r="Q76" s="814"/>
      <c r="R76" s="291"/>
      <c r="T76" s="78"/>
      <c r="U76" s="77"/>
    </row>
    <row r="77" spans="1:23" x14ac:dyDescent="0.25">
      <c r="A77" s="493">
        <f>ANALÍTICO!C547</f>
        <v>10</v>
      </c>
      <c r="B77" s="494" t="str">
        <f>ANALÍTICO!D547</f>
        <v>REVESTIMENTOS INTERNOS</v>
      </c>
      <c r="C77" s="829"/>
      <c r="D77" s="521"/>
      <c r="E77" s="505"/>
      <c r="F77" s="495"/>
      <c r="G77" s="829"/>
      <c r="H77" s="521"/>
      <c r="I77" s="505"/>
      <c r="J77" s="495"/>
      <c r="K77" s="829"/>
      <c r="L77" s="521"/>
      <c r="M77" s="505"/>
      <c r="N77" s="495"/>
      <c r="O77" s="829"/>
      <c r="P77" s="521"/>
      <c r="Q77" s="505"/>
      <c r="R77" s="521"/>
      <c r="T77" s="500">
        <f>SUM(T78:T81)</f>
        <v>43303.05</v>
      </c>
      <c r="U77" s="501"/>
      <c r="W77" s="541">
        <f>ANALÍTICO!O547</f>
        <v>43303.05</v>
      </c>
    </row>
    <row r="78" spans="1:23" x14ac:dyDescent="0.25">
      <c r="A78" s="81"/>
      <c r="B78" s="804" t="s">
        <v>431</v>
      </c>
      <c r="C78" s="514"/>
      <c r="D78" s="496"/>
      <c r="E78" s="813"/>
      <c r="F78" s="835"/>
      <c r="G78" s="514"/>
      <c r="H78" s="496"/>
      <c r="I78" s="822">
        <v>1</v>
      </c>
      <c r="J78" s="842">
        <f>I78*T78</f>
        <v>3061.02</v>
      </c>
      <c r="K78" s="514"/>
      <c r="L78" s="496"/>
      <c r="M78" s="813"/>
      <c r="N78" s="835"/>
      <c r="O78" s="514"/>
      <c r="P78" s="496"/>
      <c r="Q78" s="813"/>
      <c r="R78" s="496"/>
      <c r="T78" s="78">
        <f>SUM(ANALÍTICO!O551:O554)</f>
        <v>3061.02</v>
      </c>
      <c r="U78" s="499">
        <f>C78+E78+G78+I78+K78+M78+O78+Q78</f>
        <v>1</v>
      </c>
      <c r="W78" s="79">
        <f>D78+F78+H78+J78+L78+N78+P78+R78</f>
        <v>3061.02</v>
      </c>
    </row>
    <row r="79" spans="1:23" x14ac:dyDescent="0.25">
      <c r="A79" s="81"/>
      <c r="B79" s="801" t="str">
        <f>ANALÍTICO!D555</f>
        <v>PAVIMENTO TERREO</v>
      </c>
      <c r="C79" s="514"/>
      <c r="D79" s="496"/>
      <c r="E79" s="813"/>
      <c r="F79" s="835"/>
      <c r="G79" s="514"/>
      <c r="H79" s="496"/>
      <c r="I79" s="822">
        <v>1</v>
      </c>
      <c r="J79" s="842">
        <f>I79*T79</f>
        <v>15688.060000000001</v>
      </c>
      <c r="K79" s="514"/>
      <c r="L79" s="496"/>
      <c r="M79" s="813"/>
      <c r="N79" s="835"/>
      <c r="O79" s="514"/>
      <c r="P79" s="496"/>
      <c r="Q79" s="813"/>
      <c r="R79" s="496"/>
      <c r="T79" s="78">
        <f>SUM(ANALÍTICO!O557:O561)</f>
        <v>15688.060000000001</v>
      </c>
      <c r="U79" s="499">
        <f>C79+E79+G79+I79+K79+M79+O79+Q79</f>
        <v>1</v>
      </c>
      <c r="W79" s="79">
        <f>D79+F79+H79+J79+L79+N79+P79+R79</f>
        <v>15688.060000000001</v>
      </c>
    </row>
    <row r="80" spans="1:23" x14ac:dyDescent="0.25">
      <c r="A80" s="81"/>
      <c r="B80" s="804" t="str">
        <f>ANALÍTICO!D563</f>
        <v>PRIMEIRO PAVIMENTO</v>
      </c>
      <c r="C80" s="514"/>
      <c r="D80" s="496"/>
      <c r="E80" s="813"/>
      <c r="F80" s="835"/>
      <c r="G80" s="514"/>
      <c r="H80" s="496"/>
      <c r="I80" s="813"/>
      <c r="J80" s="835"/>
      <c r="K80" s="509">
        <v>1</v>
      </c>
      <c r="L80" s="491">
        <f>K80*T80</f>
        <v>12601.17</v>
      </c>
      <c r="M80" s="813"/>
      <c r="N80" s="835"/>
      <c r="O80" s="514"/>
      <c r="P80" s="496"/>
      <c r="Q80" s="813"/>
      <c r="R80" s="496"/>
      <c r="T80" s="78">
        <f>SUM(ANALÍTICO!O565:O567)</f>
        <v>12601.17</v>
      </c>
      <c r="U80" s="499">
        <f>C80+E80+G80+I80+K80+M80+O80+Q80</f>
        <v>1</v>
      </c>
      <c r="W80" s="79">
        <f>D80+F80+H80+J80+L80+N80+P80+R80</f>
        <v>12601.17</v>
      </c>
    </row>
    <row r="81" spans="1:23" x14ac:dyDescent="0.25">
      <c r="A81" s="81"/>
      <c r="B81" s="804" t="str">
        <f>ANALÍTICO!D569</f>
        <v>SEGUNDO PAVIMENTO</v>
      </c>
      <c r="C81" s="514"/>
      <c r="D81" s="496"/>
      <c r="E81" s="813"/>
      <c r="F81" s="835"/>
      <c r="G81" s="514"/>
      <c r="H81" s="496"/>
      <c r="I81" s="813"/>
      <c r="J81" s="835"/>
      <c r="K81" s="514"/>
      <c r="L81" s="496"/>
      <c r="M81" s="822">
        <v>1</v>
      </c>
      <c r="N81" s="842">
        <f>T81*M81</f>
        <v>11952.8</v>
      </c>
      <c r="O81" s="514"/>
      <c r="P81" s="496"/>
      <c r="Q81" s="813"/>
      <c r="R81" s="496"/>
      <c r="T81" s="78">
        <f>SUM(ANALÍTICO!O571:O573)</f>
        <v>11952.8</v>
      </c>
      <c r="U81" s="499">
        <f>C81+E81+G81+I81+K81+M81+O81+Q81</f>
        <v>1</v>
      </c>
      <c r="W81" s="79">
        <f>D81+F81+H81+J81+L81+N81+P81+R81</f>
        <v>11952.8</v>
      </c>
    </row>
    <row r="82" spans="1:23" x14ac:dyDescent="0.25">
      <c r="A82" s="82"/>
      <c r="B82" s="799"/>
      <c r="C82" s="507"/>
      <c r="D82" s="291"/>
      <c r="E82" s="814"/>
      <c r="F82" s="558"/>
      <c r="G82" s="507"/>
      <c r="H82" s="291"/>
      <c r="I82" s="814"/>
      <c r="J82" s="558"/>
      <c r="K82" s="507"/>
      <c r="L82" s="291"/>
      <c r="M82" s="814"/>
      <c r="N82" s="558"/>
      <c r="O82" s="507"/>
      <c r="P82" s="291"/>
      <c r="Q82" s="814"/>
      <c r="R82" s="291"/>
      <c r="T82" s="78"/>
      <c r="U82" s="77"/>
    </row>
    <row r="83" spans="1:23" x14ac:dyDescent="0.25">
      <c r="A83" s="493">
        <f>ANALÍTICO!C576</f>
        <v>11</v>
      </c>
      <c r="B83" s="494" t="str">
        <f>ANALÍTICO!D576</f>
        <v>REVESTIMENTOS EXTERNOS</v>
      </c>
      <c r="C83" s="829"/>
      <c r="D83" s="521"/>
      <c r="E83" s="505"/>
      <c r="F83" s="495"/>
      <c r="G83" s="829"/>
      <c r="H83" s="521"/>
      <c r="I83" s="505"/>
      <c r="J83" s="495"/>
      <c r="K83" s="829"/>
      <c r="L83" s="521"/>
      <c r="M83" s="505"/>
      <c r="N83" s="495"/>
      <c r="O83" s="829"/>
      <c r="P83" s="521"/>
      <c r="Q83" s="505"/>
      <c r="R83" s="521"/>
      <c r="T83" s="500">
        <f>SUM(T84:T86)</f>
        <v>2654.31</v>
      </c>
      <c r="U83" s="501"/>
      <c r="W83" s="541">
        <f>ANALÍTICO!O576</f>
        <v>2654.31</v>
      </c>
    </row>
    <row r="84" spans="1:23" x14ac:dyDescent="0.25">
      <c r="A84" s="81"/>
      <c r="B84" s="801" t="str">
        <f>ANALÍTICO!D578</f>
        <v>PAVIMENTO TERREO</v>
      </c>
      <c r="C84" s="514"/>
      <c r="D84" s="496"/>
      <c r="E84" s="813"/>
      <c r="F84" s="835"/>
      <c r="G84" s="514"/>
      <c r="H84" s="496"/>
      <c r="I84" s="813"/>
      <c r="J84" s="835"/>
      <c r="K84" s="514"/>
      <c r="L84" s="496"/>
      <c r="M84" s="822">
        <v>1</v>
      </c>
      <c r="N84" s="842">
        <f>M84*T84</f>
        <v>954.36</v>
      </c>
      <c r="O84" s="514"/>
      <c r="P84" s="496"/>
      <c r="Q84" s="813"/>
      <c r="R84" s="496"/>
      <c r="T84" s="78">
        <f>SUM(ANALÍTICO!O580)</f>
        <v>954.36</v>
      </c>
      <c r="U84" s="499">
        <f>C84+E84+G84+I84+K84+M84+O84+Q84</f>
        <v>1</v>
      </c>
      <c r="W84" s="79">
        <f>D84+F84+H84+J84+L84+N84+P84+R84</f>
        <v>954.36</v>
      </c>
    </row>
    <row r="85" spans="1:23" x14ac:dyDescent="0.25">
      <c r="A85" s="81"/>
      <c r="B85" s="804" t="str">
        <f>ANALÍTICO!D582</f>
        <v>PRIMEIRO PAVIMENTO</v>
      </c>
      <c r="C85" s="514"/>
      <c r="D85" s="496"/>
      <c r="E85" s="813"/>
      <c r="F85" s="835"/>
      <c r="G85" s="514"/>
      <c r="H85" s="496"/>
      <c r="I85" s="813"/>
      <c r="J85" s="835"/>
      <c r="K85" s="514"/>
      <c r="L85" s="496"/>
      <c r="M85" s="822">
        <v>1</v>
      </c>
      <c r="N85" s="842">
        <f>M85*T85</f>
        <v>825.32999999999993</v>
      </c>
      <c r="O85" s="514"/>
      <c r="P85" s="496"/>
      <c r="Q85" s="813"/>
      <c r="R85" s="496"/>
      <c r="T85" s="78">
        <f>SUM(ANALÍTICO!O584:O588)</f>
        <v>825.32999999999993</v>
      </c>
      <c r="U85" s="499">
        <f>C85+E85+G85+I85+K85+M85+O85+Q85</f>
        <v>1</v>
      </c>
      <c r="W85" s="79">
        <f>D85+F85+H85+J85+L85+N85+P85+R85</f>
        <v>825.32999999999993</v>
      </c>
    </row>
    <row r="86" spans="1:23" x14ac:dyDescent="0.25">
      <c r="A86" s="81"/>
      <c r="B86" s="804" t="str">
        <f>ANALÍTICO!D590</f>
        <v>SEGUNDO PAVIMENTO</v>
      </c>
      <c r="C86" s="514"/>
      <c r="D86" s="496"/>
      <c r="E86" s="813"/>
      <c r="F86" s="835"/>
      <c r="G86" s="514"/>
      <c r="H86" s="496"/>
      <c r="I86" s="813"/>
      <c r="J86" s="835"/>
      <c r="K86" s="514"/>
      <c r="L86" s="496"/>
      <c r="M86" s="822">
        <v>1</v>
      </c>
      <c r="N86" s="842">
        <f>M86*T86</f>
        <v>874.62</v>
      </c>
      <c r="O86" s="514"/>
      <c r="P86" s="496"/>
      <c r="Q86" s="813"/>
      <c r="R86" s="496"/>
      <c r="T86" s="78">
        <f>SUM(ANALÍTICO!O592:O596)</f>
        <v>874.62</v>
      </c>
      <c r="U86" s="499">
        <f>C86+E86+G86+I86+K86+M86+O86+Q86</f>
        <v>1</v>
      </c>
      <c r="W86" s="79">
        <f>D86+F86+H86+J86+L86+N86+P86+R86</f>
        <v>874.62</v>
      </c>
    </row>
    <row r="87" spans="1:23" x14ac:dyDescent="0.25">
      <c r="A87" s="82"/>
      <c r="B87" s="799"/>
      <c r="C87" s="507"/>
      <c r="D87" s="291"/>
      <c r="E87" s="814"/>
      <c r="F87" s="558"/>
      <c r="G87" s="507"/>
      <c r="H87" s="291"/>
      <c r="I87" s="814"/>
      <c r="J87" s="558"/>
      <c r="K87" s="507"/>
      <c r="L87" s="291"/>
      <c r="M87" s="814"/>
      <c r="N87" s="558"/>
      <c r="O87" s="507"/>
      <c r="P87" s="291"/>
      <c r="Q87" s="814"/>
      <c r="R87" s="291"/>
      <c r="T87" s="78"/>
      <c r="U87" s="77"/>
    </row>
    <row r="88" spans="1:23" x14ac:dyDescent="0.25">
      <c r="A88" s="493">
        <f>ANALÍTICO!C598</f>
        <v>12</v>
      </c>
      <c r="B88" s="494" t="str">
        <f>ANALÍTICO!D598</f>
        <v>PISOS INTERNOS/EXTERNOS</v>
      </c>
      <c r="C88" s="829"/>
      <c r="D88" s="521"/>
      <c r="E88" s="505"/>
      <c r="F88" s="495"/>
      <c r="G88" s="829"/>
      <c r="H88" s="521"/>
      <c r="I88" s="505"/>
      <c r="J88" s="495"/>
      <c r="K88" s="829"/>
      <c r="L88" s="521"/>
      <c r="M88" s="505"/>
      <c r="N88" s="495"/>
      <c r="O88" s="829"/>
      <c r="P88" s="521"/>
      <c r="Q88" s="505"/>
      <c r="R88" s="521"/>
      <c r="T88" s="500">
        <f>SUM(T89:T92)</f>
        <v>85734.549999999988</v>
      </c>
      <c r="U88" s="501"/>
      <c r="W88" s="541">
        <f>ANALÍTICO!O598</f>
        <v>85734.549999999988</v>
      </c>
    </row>
    <row r="89" spans="1:23" x14ac:dyDescent="0.25">
      <c r="A89" s="81"/>
      <c r="B89" s="804" t="str">
        <f>ANALÍTICO!D600</f>
        <v>PAVIMENTO SUB SOLO</v>
      </c>
      <c r="C89" s="514"/>
      <c r="D89" s="496"/>
      <c r="E89" s="822">
        <v>1</v>
      </c>
      <c r="F89" s="842">
        <f>E89*T89</f>
        <v>3081.64</v>
      </c>
      <c r="G89" s="514"/>
      <c r="H89" s="496"/>
      <c r="I89" s="813"/>
      <c r="J89" s="835"/>
      <c r="K89" s="514"/>
      <c r="L89" s="496"/>
      <c r="M89" s="813"/>
      <c r="N89" s="835"/>
      <c r="O89" s="514"/>
      <c r="P89" s="496"/>
      <c r="Q89" s="813"/>
      <c r="R89" s="496"/>
      <c r="T89" s="78">
        <f>SUM(ANALÍTICO!O603:O611)</f>
        <v>3081.64</v>
      </c>
      <c r="U89" s="499">
        <f>C89+E89+G89+I89+K89+M89+O89+Q89</f>
        <v>1</v>
      </c>
      <c r="W89" s="79">
        <f>D89+F89+H89+J89+L89+N89+P89+R89</f>
        <v>3081.64</v>
      </c>
    </row>
    <row r="90" spans="1:23" x14ac:dyDescent="0.25">
      <c r="A90" s="81"/>
      <c r="B90" s="804" t="str">
        <f>ANALÍTICO!D612</f>
        <v>PAVIMENTO TERREO</v>
      </c>
      <c r="C90" s="514"/>
      <c r="D90" s="496"/>
      <c r="E90" s="813"/>
      <c r="F90" s="835"/>
      <c r="G90" s="509">
        <v>1</v>
      </c>
      <c r="H90" s="491">
        <f>G90*T90</f>
        <v>29057.26</v>
      </c>
      <c r="I90" s="813"/>
      <c r="J90" s="835"/>
      <c r="K90" s="514"/>
      <c r="L90" s="496"/>
      <c r="M90" s="813"/>
      <c r="N90" s="835"/>
      <c r="O90" s="514"/>
      <c r="P90" s="496"/>
      <c r="Q90" s="813"/>
      <c r="R90" s="496"/>
      <c r="T90" s="78">
        <f>SUM(ANALÍTICO!O614:O626)</f>
        <v>29057.26</v>
      </c>
      <c r="U90" s="499">
        <f>C90+E90+G90+I90+K90+M90+O90+Q90</f>
        <v>1</v>
      </c>
      <c r="W90" s="79">
        <f>D90+F90+H90+J90+L90+N90+P90+R90</f>
        <v>29057.26</v>
      </c>
    </row>
    <row r="91" spans="1:23" x14ac:dyDescent="0.25">
      <c r="A91" s="81"/>
      <c r="B91" s="804" t="str">
        <f>ANALÍTICO!D627</f>
        <v>PRIMEIRO PAVIMENTO</v>
      </c>
      <c r="C91" s="514"/>
      <c r="D91" s="496"/>
      <c r="E91" s="813"/>
      <c r="F91" s="835"/>
      <c r="G91" s="514"/>
      <c r="H91" s="496"/>
      <c r="I91" s="822">
        <v>1</v>
      </c>
      <c r="J91" s="842">
        <f>I91*T91</f>
        <v>27051.690000000002</v>
      </c>
      <c r="K91" s="514"/>
      <c r="L91" s="496"/>
      <c r="M91" s="813"/>
      <c r="N91" s="835"/>
      <c r="O91" s="514"/>
      <c r="P91" s="496"/>
      <c r="Q91" s="813"/>
      <c r="R91" s="496"/>
      <c r="T91" s="78">
        <f>SUM(ANALÍTICO!O629:O636)</f>
        <v>27051.690000000002</v>
      </c>
      <c r="U91" s="499">
        <f>C91+E91+G91+I91+K91+M91+O91+Q91</f>
        <v>1</v>
      </c>
      <c r="W91" s="79">
        <f>D91+F91+H91+J91+L91+N91+P91+R91</f>
        <v>27051.690000000002</v>
      </c>
    </row>
    <row r="92" spans="1:23" x14ac:dyDescent="0.25">
      <c r="A92" s="83"/>
      <c r="B92" s="805" t="str">
        <f>ANALÍTICO!D637</f>
        <v>SEGUNDO PAVIMENTO</v>
      </c>
      <c r="C92" s="514"/>
      <c r="D92" s="496"/>
      <c r="E92" s="813"/>
      <c r="F92" s="835"/>
      <c r="G92" s="514"/>
      <c r="H92" s="496"/>
      <c r="I92" s="813"/>
      <c r="J92" s="835"/>
      <c r="K92" s="509">
        <v>1</v>
      </c>
      <c r="L92" s="491">
        <f>K92*T92</f>
        <v>26543.96</v>
      </c>
      <c r="M92" s="813"/>
      <c r="N92" s="835"/>
      <c r="O92" s="514"/>
      <c r="P92" s="496"/>
      <c r="Q92" s="813"/>
      <c r="R92" s="496"/>
      <c r="T92" s="78">
        <f>SUM(ANALÍTICO!O639:O645)</f>
        <v>26543.96</v>
      </c>
      <c r="U92" s="499">
        <f>C92+E92+G92+I92+K92+M92+O92+Q92</f>
        <v>1</v>
      </c>
      <c r="W92" s="79">
        <f>D92+F92+H92+J92+L92+N92+P92+R92</f>
        <v>26543.96</v>
      </c>
    </row>
    <row r="93" spans="1:23" x14ac:dyDescent="0.25">
      <c r="A93" s="82"/>
      <c r="B93" s="799"/>
      <c r="C93" s="507"/>
      <c r="D93" s="291"/>
      <c r="E93" s="814"/>
      <c r="F93" s="558"/>
      <c r="G93" s="507"/>
      <c r="H93" s="291"/>
      <c r="I93" s="814"/>
      <c r="J93" s="558"/>
      <c r="K93" s="507"/>
      <c r="L93" s="291"/>
      <c r="M93" s="814"/>
      <c r="N93" s="558"/>
      <c r="O93" s="507"/>
      <c r="P93" s="291"/>
      <c r="Q93" s="814"/>
      <c r="R93" s="291"/>
      <c r="T93" s="78"/>
      <c r="U93" s="77"/>
    </row>
    <row r="94" spans="1:23" ht="30" x14ac:dyDescent="0.25">
      <c r="A94" s="493">
        <f>ANALÍTICO!C647</f>
        <v>13</v>
      </c>
      <c r="B94" s="494" t="str">
        <f>ANALÍTICO!D647</f>
        <v>CORRIMÃO, RODAPÉS, SOLEIRAS E PEITORIS</v>
      </c>
      <c r="C94" s="829"/>
      <c r="D94" s="521"/>
      <c r="E94" s="505"/>
      <c r="F94" s="495"/>
      <c r="G94" s="829"/>
      <c r="H94" s="521"/>
      <c r="I94" s="505"/>
      <c r="J94" s="495"/>
      <c r="K94" s="829"/>
      <c r="L94" s="521"/>
      <c r="M94" s="505"/>
      <c r="N94" s="495"/>
      <c r="O94" s="829"/>
      <c r="P94" s="521"/>
      <c r="Q94" s="505"/>
      <c r="R94" s="521"/>
      <c r="T94" s="500">
        <f>SUM(T95:T98)</f>
        <v>39102.25</v>
      </c>
      <c r="U94" s="501"/>
      <c r="W94" s="541">
        <f>ANALÍTICO!O647</f>
        <v>39102.250000000007</v>
      </c>
    </row>
    <row r="95" spans="1:23" x14ac:dyDescent="0.25">
      <c r="A95" s="81"/>
      <c r="B95" s="804" t="str">
        <f>ANALÍTICO!D649</f>
        <v>PAVIMENTO SUB SOLO</v>
      </c>
      <c r="C95" s="514"/>
      <c r="D95" s="496"/>
      <c r="E95" s="813"/>
      <c r="F95" s="835"/>
      <c r="G95" s="509">
        <v>1</v>
      </c>
      <c r="H95" s="491">
        <f>G95*T95</f>
        <v>2460.9699999999998</v>
      </c>
      <c r="I95" s="813"/>
      <c r="J95" s="835"/>
      <c r="K95" s="514"/>
      <c r="L95" s="496"/>
      <c r="M95" s="813"/>
      <c r="N95" s="835"/>
      <c r="O95" s="514"/>
      <c r="P95" s="496"/>
      <c r="Q95" s="813"/>
      <c r="R95" s="496"/>
      <c r="T95" s="78">
        <f>SUM(ANALÍTICO!O651)</f>
        <v>2460.9699999999998</v>
      </c>
      <c r="U95" s="499">
        <f>C95+E95+G95+I95+K95+M95+O95+Q95</f>
        <v>1</v>
      </c>
      <c r="W95" s="79">
        <f>D95+F95+H95+J95+L95+N95+P95+R95</f>
        <v>2460.9699999999998</v>
      </c>
    </row>
    <row r="96" spans="1:23" x14ac:dyDescent="0.25">
      <c r="A96" s="81"/>
      <c r="B96" s="804" t="str">
        <f>ANALÍTICO!D653</f>
        <v>PAVIMENTO TERREO</v>
      </c>
      <c r="C96" s="514"/>
      <c r="D96" s="496"/>
      <c r="E96" s="813"/>
      <c r="F96" s="835"/>
      <c r="G96" s="509">
        <v>1</v>
      </c>
      <c r="H96" s="491">
        <f>G96*T96</f>
        <v>13213.14</v>
      </c>
      <c r="I96" s="813"/>
      <c r="J96" s="835"/>
      <c r="K96" s="514"/>
      <c r="L96" s="496"/>
      <c r="M96" s="813"/>
      <c r="N96" s="835"/>
      <c r="O96" s="514"/>
      <c r="P96" s="496"/>
      <c r="Q96" s="813"/>
      <c r="R96" s="496"/>
      <c r="T96" s="78">
        <f>SUM(ANALÍTICO!O655:O669)</f>
        <v>13213.14</v>
      </c>
      <c r="U96" s="499">
        <f>C96+E96+G96+I96+K96+M96+O96+Q96</f>
        <v>1</v>
      </c>
      <c r="W96" s="79">
        <f>D96+F96+H96+J96+L96+N96+P96+R96</f>
        <v>13213.14</v>
      </c>
    </row>
    <row r="97" spans="1:23" x14ac:dyDescent="0.25">
      <c r="A97" s="81"/>
      <c r="B97" s="804" t="str">
        <f>ANALÍTICO!D670</f>
        <v>PRIMEIRO PAVIMENTO</v>
      </c>
      <c r="C97" s="514"/>
      <c r="D97" s="496"/>
      <c r="E97" s="813"/>
      <c r="F97" s="835"/>
      <c r="G97" s="514"/>
      <c r="H97" s="496"/>
      <c r="I97" s="822">
        <v>1</v>
      </c>
      <c r="J97" s="842">
        <f>I97*T97</f>
        <v>13470.060000000001</v>
      </c>
      <c r="K97" s="514"/>
      <c r="L97" s="496"/>
      <c r="M97" s="813"/>
      <c r="N97" s="835"/>
      <c r="O97" s="514"/>
      <c r="P97" s="496"/>
      <c r="Q97" s="813"/>
      <c r="R97" s="496"/>
      <c r="T97" s="78">
        <f>SUM(ANALÍTICO!O672:O684)</f>
        <v>13470.060000000001</v>
      </c>
      <c r="U97" s="499">
        <f>C97+E97+G97+I97+K97+M97+O97+Q97</f>
        <v>1</v>
      </c>
      <c r="W97" s="79">
        <f>D97+F97+H97+J97+L97+N97+P97+R97</f>
        <v>13470.060000000001</v>
      </c>
    </row>
    <row r="98" spans="1:23" x14ac:dyDescent="0.25">
      <c r="A98" s="81"/>
      <c r="B98" s="804" t="str">
        <f>ANALÍTICO!D685</f>
        <v>SEGUNDO PAVIMENTO</v>
      </c>
      <c r="C98" s="514"/>
      <c r="D98" s="496"/>
      <c r="E98" s="813"/>
      <c r="F98" s="835"/>
      <c r="G98" s="514"/>
      <c r="H98" s="496"/>
      <c r="I98" s="822">
        <v>1</v>
      </c>
      <c r="J98" s="842">
        <f>I98*T98</f>
        <v>9958.08</v>
      </c>
      <c r="K98" s="514"/>
      <c r="L98" s="496"/>
      <c r="M98" s="813"/>
      <c r="N98" s="835"/>
      <c r="O98" s="514"/>
      <c r="P98" s="496"/>
      <c r="Q98" s="813"/>
      <c r="R98" s="496"/>
      <c r="T98" s="78">
        <f>SUM(ANALÍTICO!O687:O697)</f>
        <v>9958.08</v>
      </c>
      <c r="U98" s="499">
        <f>C98+E98+G98+I98+K98+M98+O98+Q98</f>
        <v>1</v>
      </c>
      <c r="W98" s="79">
        <f>D98+F98+H98+J98+L98+N98+P98+R98</f>
        <v>9958.08</v>
      </c>
    </row>
    <row r="99" spans="1:23" x14ac:dyDescent="0.25">
      <c r="A99" s="82"/>
      <c r="B99" s="799"/>
      <c r="C99" s="507"/>
      <c r="D99" s="291"/>
      <c r="E99" s="814"/>
      <c r="F99" s="558"/>
      <c r="G99" s="507"/>
      <c r="H99" s="291"/>
      <c r="I99" s="814"/>
      <c r="J99" s="558"/>
      <c r="K99" s="507"/>
      <c r="L99" s="291"/>
      <c r="M99" s="814"/>
      <c r="N99" s="558"/>
      <c r="O99" s="507"/>
      <c r="P99" s="291"/>
      <c r="Q99" s="814"/>
      <c r="R99" s="291"/>
      <c r="T99" s="78"/>
      <c r="U99" s="77"/>
    </row>
    <row r="100" spans="1:23" x14ac:dyDescent="0.25">
      <c r="A100" s="493">
        <f>ANALÍTICO!C698</f>
        <v>14</v>
      </c>
      <c r="B100" s="494" t="str">
        <f>ANALÍTICO!D698</f>
        <v>INSTALAÇÕES HIDROSSANITÁRIAS</v>
      </c>
      <c r="C100" s="829"/>
      <c r="D100" s="521"/>
      <c r="E100" s="505"/>
      <c r="F100" s="495"/>
      <c r="G100" s="829"/>
      <c r="H100" s="521"/>
      <c r="I100" s="505"/>
      <c r="J100" s="495"/>
      <c r="K100" s="829"/>
      <c r="L100" s="521"/>
      <c r="M100" s="505"/>
      <c r="N100" s="495"/>
      <c r="O100" s="829"/>
      <c r="P100" s="521"/>
      <c r="Q100" s="505"/>
      <c r="R100" s="521"/>
      <c r="T100" s="500">
        <f>SUM(T101:T124)</f>
        <v>88125.209999999977</v>
      </c>
      <c r="U100" s="501"/>
      <c r="W100" s="541">
        <f>ANALÍTICO!O698</f>
        <v>88125.209999999992</v>
      </c>
    </row>
    <row r="101" spans="1:23" x14ac:dyDescent="0.25">
      <c r="A101" s="81"/>
      <c r="B101" s="806" t="str">
        <f>ANALÍTICO!D700</f>
        <v>REDE DE ÁGUA FRIA</v>
      </c>
      <c r="C101" s="514"/>
      <c r="D101" s="496"/>
      <c r="E101" s="813"/>
      <c r="F101" s="835"/>
      <c r="G101" s="514"/>
      <c r="H101" s="496"/>
      <c r="I101" s="813"/>
      <c r="J101" s="835"/>
      <c r="K101" s="509">
        <v>1</v>
      </c>
      <c r="L101" s="491">
        <f>K101*T101</f>
        <v>3891.43</v>
      </c>
      <c r="M101" s="813"/>
      <c r="N101" s="835"/>
      <c r="O101" s="514"/>
      <c r="P101" s="496"/>
      <c r="Q101" s="813"/>
      <c r="R101" s="496"/>
      <c r="T101" s="78">
        <f>SUM(ANALÍTICO!O702:O704)</f>
        <v>3891.43</v>
      </c>
      <c r="U101" s="499">
        <f>C101+E101+G101+I101+K101+M101+O101+Q101</f>
        <v>1</v>
      </c>
      <c r="W101" s="79">
        <f>D101+F101+H101+J101+L101+N101+P101+R101</f>
        <v>3891.43</v>
      </c>
    </row>
    <row r="102" spans="1:23" x14ac:dyDescent="0.25">
      <c r="A102" s="81"/>
      <c r="B102" s="806" t="str">
        <f>ANALÍTICO!D706</f>
        <v>REDE DE ESGOTO SANITÁRIO</v>
      </c>
      <c r="C102" s="514"/>
      <c r="D102" s="496"/>
      <c r="E102" s="813"/>
      <c r="F102" s="835"/>
      <c r="G102" s="514"/>
      <c r="H102" s="496"/>
      <c r="I102" s="813"/>
      <c r="J102" s="835"/>
      <c r="K102" s="509">
        <v>1</v>
      </c>
      <c r="L102" s="491">
        <f>K102*T102</f>
        <v>4701.21</v>
      </c>
      <c r="M102" s="813"/>
      <c r="N102" s="835"/>
      <c r="O102" s="514"/>
      <c r="P102" s="496"/>
      <c r="Q102" s="813"/>
      <c r="R102" s="496"/>
      <c r="T102" s="78">
        <f>SUM(ANALÍTICO!O708)</f>
        <v>4701.21</v>
      </c>
      <c r="U102" s="499">
        <f>C102+E102+G102+I102+K102+M102+O102+Q102</f>
        <v>1</v>
      </c>
      <c r="W102" s="79">
        <f>D102+F102+H102+J102+L102+N102+P102+R102</f>
        <v>4701.21</v>
      </c>
    </row>
    <row r="103" spans="1:23" ht="24.75" x14ac:dyDescent="0.25">
      <c r="A103" s="81"/>
      <c r="B103" s="806" t="str">
        <f>ANALÍTICO!D710</f>
        <v>REDE DE DRENAGEM  - CAPTAÇÃO DE ÁGUAS PLUVIAIS</v>
      </c>
      <c r="C103" s="514"/>
      <c r="D103" s="496"/>
      <c r="E103" s="813"/>
      <c r="F103" s="835"/>
      <c r="G103" s="514"/>
      <c r="H103" s="496"/>
      <c r="I103" s="813"/>
      <c r="J103" s="835"/>
      <c r="K103" s="509">
        <v>1</v>
      </c>
      <c r="L103" s="491">
        <f>K103*T103</f>
        <v>2950.04</v>
      </c>
      <c r="M103" s="813"/>
      <c r="N103" s="835"/>
      <c r="O103" s="514"/>
      <c r="P103" s="496"/>
      <c r="Q103" s="813"/>
      <c r="R103" s="496"/>
      <c r="T103" s="78">
        <f>SUM(ANALÍTICO!O712:O718)</f>
        <v>2950.04</v>
      </c>
      <c r="U103" s="499">
        <f>C103+E103+G103+I103+K103+M103+O103+Q103</f>
        <v>1</v>
      </c>
      <c r="W103" s="79">
        <f>D103+F103+H103+J103+L103+N103+P103+R103</f>
        <v>2950.04</v>
      </c>
    </row>
    <row r="104" spans="1:23" x14ac:dyDescent="0.25">
      <c r="A104" s="81"/>
      <c r="B104" s="807" t="str">
        <f>ANALÍTICO!D724</f>
        <v>PAVIMENTO TERREO</v>
      </c>
      <c r="C104" s="509"/>
      <c r="D104" s="491"/>
      <c r="E104" s="822"/>
      <c r="F104" s="842"/>
      <c r="G104" s="509"/>
      <c r="H104" s="491"/>
      <c r="I104" s="822"/>
      <c r="J104" s="842"/>
      <c r="K104" s="509"/>
      <c r="L104" s="491"/>
      <c r="M104" s="822"/>
      <c r="N104" s="842"/>
      <c r="O104" s="509"/>
      <c r="P104" s="491"/>
      <c r="Q104" s="822"/>
      <c r="R104" s="491"/>
      <c r="T104" s="537"/>
      <c r="U104" s="538"/>
    </row>
    <row r="105" spans="1:23" ht="30" x14ac:dyDescent="0.25">
      <c r="A105" s="81"/>
      <c r="B105" s="202" t="s">
        <v>97</v>
      </c>
      <c r="C105" s="514"/>
      <c r="D105" s="496"/>
      <c r="E105" s="813"/>
      <c r="F105" s="835"/>
      <c r="G105" s="509">
        <v>1</v>
      </c>
      <c r="H105" s="491">
        <f>G105*T105</f>
        <v>3789.42</v>
      </c>
      <c r="I105" s="813"/>
      <c r="J105" s="835"/>
      <c r="K105" s="514"/>
      <c r="L105" s="496"/>
      <c r="M105" s="813"/>
      <c r="N105" s="835"/>
      <c r="O105" s="514"/>
      <c r="P105" s="496"/>
      <c r="Q105" s="813"/>
      <c r="R105" s="496"/>
      <c r="T105" s="78">
        <f>SUM(ANALÍTICO!O728:O736,ANALÍTICO!O761:O767)</f>
        <v>3789.42</v>
      </c>
      <c r="U105" s="499">
        <f t="shared" ref="U105:U110" si="0">C105+E105+G105+I105+K105+M105+O105+Q105</f>
        <v>1</v>
      </c>
      <c r="W105" s="79">
        <f t="shared" ref="W105:W110" si="1">D105+F105+H105+J105+L105+N105+P105+R105</f>
        <v>3789.42</v>
      </c>
    </row>
    <row r="106" spans="1:23" x14ac:dyDescent="0.25">
      <c r="A106" s="81"/>
      <c r="B106" s="202" t="s">
        <v>98</v>
      </c>
      <c r="C106" s="514"/>
      <c r="D106" s="496"/>
      <c r="E106" s="813"/>
      <c r="F106" s="835"/>
      <c r="G106" s="509">
        <v>1</v>
      </c>
      <c r="H106" s="491">
        <f>G106*T106</f>
        <v>3104.2799999999997</v>
      </c>
      <c r="I106" s="813"/>
      <c r="J106" s="835"/>
      <c r="K106" s="514"/>
      <c r="L106" s="496"/>
      <c r="M106" s="813"/>
      <c r="N106" s="835"/>
      <c r="O106" s="514"/>
      <c r="P106" s="496"/>
      <c r="Q106" s="813"/>
      <c r="R106" s="496"/>
      <c r="T106" s="78">
        <f>SUM(ANALÍTICO!O744:O751)</f>
        <v>3104.2799999999997</v>
      </c>
      <c r="U106" s="499">
        <f t="shared" si="0"/>
        <v>1</v>
      </c>
      <c r="W106" s="79">
        <f t="shared" si="1"/>
        <v>3104.2799999999997</v>
      </c>
    </row>
    <row r="107" spans="1:23" x14ac:dyDescent="0.25">
      <c r="A107" s="81"/>
      <c r="B107" s="202" t="s">
        <v>99</v>
      </c>
      <c r="C107" s="514"/>
      <c r="D107" s="496"/>
      <c r="E107" s="813"/>
      <c r="F107" s="835"/>
      <c r="G107" s="514"/>
      <c r="H107" s="496"/>
      <c r="I107" s="813"/>
      <c r="J107" s="835"/>
      <c r="K107" s="514"/>
      <c r="L107" s="496"/>
      <c r="M107" s="813"/>
      <c r="N107" s="835"/>
      <c r="O107" s="509">
        <v>1</v>
      </c>
      <c r="P107" s="491">
        <f>O107*T107</f>
        <v>9330.93</v>
      </c>
      <c r="Q107" s="813"/>
      <c r="R107" s="496"/>
      <c r="T107" s="78">
        <f>SUM(ANALÍTICO!O771:O831)</f>
        <v>9330.93</v>
      </c>
      <c r="U107" s="499">
        <f t="shared" si="0"/>
        <v>1</v>
      </c>
      <c r="W107" s="79">
        <f t="shared" si="1"/>
        <v>9330.93</v>
      </c>
    </row>
    <row r="108" spans="1:23" x14ac:dyDescent="0.25">
      <c r="A108" s="83"/>
      <c r="B108" s="808" t="s">
        <v>100</v>
      </c>
      <c r="C108" s="514"/>
      <c r="D108" s="496"/>
      <c r="E108" s="813"/>
      <c r="F108" s="835"/>
      <c r="G108" s="514"/>
      <c r="H108" s="496"/>
      <c r="I108" s="813"/>
      <c r="J108" s="835"/>
      <c r="K108" s="514"/>
      <c r="L108" s="496"/>
      <c r="M108" s="813"/>
      <c r="N108" s="835"/>
      <c r="O108" s="531">
        <v>1</v>
      </c>
      <c r="P108" s="491">
        <f>O108*T108</f>
        <v>9525.7599999999966</v>
      </c>
      <c r="Q108" s="813"/>
      <c r="R108" s="496"/>
      <c r="T108" s="78">
        <f>SUM(ANALÍTICO!O837:O899)</f>
        <v>9525.7599999999966</v>
      </c>
      <c r="U108" s="499">
        <f t="shared" si="0"/>
        <v>1</v>
      </c>
      <c r="W108" s="79">
        <f t="shared" si="1"/>
        <v>9525.7599999999966</v>
      </c>
    </row>
    <row r="109" spans="1:23" x14ac:dyDescent="0.25">
      <c r="A109" s="83"/>
      <c r="B109" s="808" t="s">
        <v>101</v>
      </c>
      <c r="C109" s="514"/>
      <c r="D109" s="496"/>
      <c r="E109" s="813"/>
      <c r="F109" s="835"/>
      <c r="G109" s="509">
        <v>1</v>
      </c>
      <c r="H109" s="491">
        <f>G109*T109</f>
        <v>626.48</v>
      </c>
      <c r="I109" s="813"/>
      <c r="J109" s="835"/>
      <c r="K109" s="514"/>
      <c r="L109" s="496"/>
      <c r="M109" s="813"/>
      <c r="N109" s="835"/>
      <c r="O109" s="514"/>
      <c r="P109" s="496"/>
      <c r="Q109" s="813"/>
      <c r="R109" s="496"/>
      <c r="T109" s="78">
        <f>SUM(ANALÍTICO!O903:O909)</f>
        <v>626.48</v>
      </c>
      <c r="U109" s="499">
        <f t="shared" si="0"/>
        <v>1</v>
      </c>
      <c r="W109" s="79">
        <f t="shared" si="1"/>
        <v>626.48</v>
      </c>
    </row>
    <row r="110" spans="1:23" x14ac:dyDescent="0.25">
      <c r="A110" s="83"/>
      <c r="B110" s="808" t="s">
        <v>102</v>
      </c>
      <c r="C110" s="514"/>
      <c r="D110" s="496"/>
      <c r="E110" s="813"/>
      <c r="F110" s="835"/>
      <c r="G110" s="514"/>
      <c r="H110" s="496"/>
      <c r="I110" s="813"/>
      <c r="J110" s="835"/>
      <c r="K110" s="514"/>
      <c r="L110" s="496"/>
      <c r="M110" s="813"/>
      <c r="N110" s="835"/>
      <c r="O110" s="531">
        <v>1</v>
      </c>
      <c r="P110" s="491">
        <f>O110*T110</f>
        <v>616.57000000000005</v>
      </c>
      <c r="Q110" s="813"/>
      <c r="R110" s="496"/>
      <c r="T110" s="78">
        <f>SUM(ANALÍTICO!O913)</f>
        <v>616.57000000000005</v>
      </c>
      <c r="U110" s="499">
        <f t="shared" si="0"/>
        <v>1</v>
      </c>
      <c r="W110" s="79">
        <f t="shared" si="1"/>
        <v>616.57000000000005</v>
      </c>
    </row>
    <row r="111" spans="1:23" s="524" customFormat="1" x14ac:dyDescent="0.25">
      <c r="A111" s="539"/>
      <c r="B111" s="807" t="str">
        <f>ANALÍTICO!D915</f>
        <v>PRIMEIRO PAVIMENTO</v>
      </c>
      <c r="C111" s="509"/>
      <c r="D111" s="491"/>
      <c r="E111" s="822"/>
      <c r="F111" s="842"/>
      <c r="G111" s="509"/>
      <c r="H111" s="491"/>
      <c r="I111" s="822"/>
      <c r="J111" s="842"/>
      <c r="K111" s="509"/>
      <c r="L111" s="491"/>
      <c r="M111" s="822"/>
      <c r="N111" s="842"/>
      <c r="O111" s="509"/>
      <c r="P111" s="491"/>
      <c r="Q111" s="822"/>
      <c r="R111" s="491"/>
      <c r="T111" s="537"/>
      <c r="U111" s="538"/>
    </row>
    <row r="112" spans="1:23" ht="30" x14ac:dyDescent="0.25">
      <c r="A112" s="81"/>
      <c r="B112" s="202" t="s">
        <v>97</v>
      </c>
      <c r="C112" s="514"/>
      <c r="D112" s="496"/>
      <c r="E112" s="813"/>
      <c r="F112" s="835"/>
      <c r="G112" s="514"/>
      <c r="H112" s="496"/>
      <c r="I112" s="822">
        <v>1</v>
      </c>
      <c r="J112" s="842">
        <f>I112*T112</f>
        <v>3115.4500000000003</v>
      </c>
      <c r="K112" s="514"/>
      <c r="L112" s="496"/>
      <c r="M112" s="813"/>
      <c r="N112" s="835"/>
      <c r="O112" s="514"/>
      <c r="P112" s="496"/>
      <c r="Q112" s="813"/>
      <c r="R112" s="496"/>
      <c r="T112" s="78">
        <f>ANALÍTICO!O919+ANALÍTICO!O927+ANALÍTICO!O953+ANALÍTICO!O955</f>
        <v>3115.4500000000003</v>
      </c>
      <c r="U112" s="499">
        <f t="shared" ref="U112:U117" si="2">C112+E112+G112+I112+K112+M112+O112+Q112</f>
        <v>1</v>
      </c>
      <c r="W112" s="79">
        <f t="shared" ref="W112:W117" si="3">D112+F112+H112+J112+L112+N112+P112+R112</f>
        <v>3115.4500000000003</v>
      </c>
    </row>
    <row r="113" spans="1:23" x14ac:dyDescent="0.25">
      <c r="A113" s="81"/>
      <c r="B113" s="202" t="s">
        <v>98</v>
      </c>
      <c r="C113" s="514"/>
      <c r="D113" s="496"/>
      <c r="E113" s="813"/>
      <c r="F113" s="835"/>
      <c r="G113" s="514"/>
      <c r="H113" s="496"/>
      <c r="I113" s="822">
        <v>1</v>
      </c>
      <c r="J113" s="842">
        <f>I113*T113</f>
        <v>3035.2</v>
      </c>
      <c r="K113" s="514"/>
      <c r="L113" s="496"/>
      <c r="M113" s="813"/>
      <c r="N113" s="835"/>
      <c r="O113" s="514"/>
      <c r="P113" s="496"/>
      <c r="Q113" s="813"/>
      <c r="R113" s="496"/>
      <c r="T113" s="78">
        <f>ANALÍTICO!O935+ANALÍTICO!O943</f>
        <v>3035.2</v>
      </c>
      <c r="U113" s="499">
        <f t="shared" si="2"/>
        <v>1</v>
      </c>
      <c r="W113" s="79">
        <f t="shared" si="3"/>
        <v>3035.2</v>
      </c>
    </row>
    <row r="114" spans="1:23" x14ac:dyDescent="0.25">
      <c r="A114" s="81"/>
      <c r="B114" s="202" t="s">
        <v>99</v>
      </c>
      <c r="C114" s="514"/>
      <c r="D114" s="496"/>
      <c r="E114" s="813"/>
      <c r="F114" s="835"/>
      <c r="G114" s="514"/>
      <c r="H114" s="496"/>
      <c r="I114" s="813"/>
      <c r="J114" s="835"/>
      <c r="K114" s="514"/>
      <c r="L114" s="496"/>
      <c r="M114" s="813"/>
      <c r="N114" s="835"/>
      <c r="O114" s="509">
        <v>1</v>
      </c>
      <c r="P114" s="491">
        <f>O114*T114</f>
        <v>8777.1799999999985</v>
      </c>
      <c r="Q114" s="813"/>
      <c r="R114" s="496"/>
      <c r="T114" s="78">
        <f>SUM(ANALÍTICO!O959:O1009)</f>
        <v>8777.1799999999985</v>
      </c>
      <c r="U114" s="499">
        <f t="shared" si="2"/>
        <v>1</v>
      </c>
      <c r="W114" s="79">
        <f t="shared" si="3"/>
        <v>8777.1799999999985</v>
      </c>
    </row>
    <row r="115" spans="1:23" x14ac:dyDescent="0.25">
      <c r="A115" s="81"/>
      <c r="B115" s="808" t="s">
        <v>100</v>
      </c>
      <c r="C115" s="514"/>
      <c r="D115" s="496"/>
      <c r="E115" s="813"/>
      <c r="F115" s="835"/>
      <c r="G115" s="514"/>
      <c r="H115" s="496"/>
      <c r="I115" s="813"/>
      <c r="J115" s="835"/>
      <c r="K115" s="514"/>
      <c r="L115" s="496"/>
      <c r="M115" s="813"/>
      <c r="N115" s="835"/>
      <c r="O115" s="531">
        <v>1</v>
      </c>
      <c r="P115" s="491">
        <f>O115*T115</f>
        <v>9406.3499999999967</v>
      </c>
      <c r="Q115" s="822"/>
      <c r="R115" s="491"/>
      <c r="T115" s="78">
        <f>SUM(ANALÍTICO!O1015:O1064)</f>
        <v>9406.3499999999967</v>
      </c>
      <c r="U115" s="499">
        <f t="shared" si="2"/>
        <v>1</v>
      </c>
      <c r="W115" s="79">
        <f t="shared" si="3"/>
        <v>9406.3499999999967</v>
      </c>
    </row>
    <row r="116" spans="1:23" x14ac:dyDescent="0.25">
      <c r="A116" s="83"/>
      <c r="B116" s="808" t="s">
        <v>101</v>
      </c>
      <c r="C116" s="514"/>
      <c r="D116" s="496"/>
      <c r="E116" s="813"/>
      <c r="F116" s="835"/>
      <c r="G116" s="514"/>
      <c r="H116" s="496"/>
      <c r="I116" s="822">
        <v>1</v>
      </c>
      <c r="J116" s="842">
        <f>I116*T116</f>
        <v>396.96</v>
      </c>
      <c r="K116" s="514"/>
      <c r="L116" s="496"/>
      <c r="M116" s="813"/>
      <c r="N116" s="835"/>
      <c r="O116" s="514"/>
      <c r="P116" s="496"/>
      <c r="Q116" s="822"/>
      <c r="R116" s="491"/>
      <c r="T116" s="78">
        <f>SUM(ANALÍTICO!O1068:O1074)</f>
        <v>396.96</v>
      </c>
      <c r="U116" s="499">
        <f t="shared" si="2"/>
        <v>1</v>
      </c>
      <c r="W116" s="79">
        <f t="shared" si="3"/>
        <v>396.96</v>
      </c>
    </row>
    <row r="117" spans="1:23" x14ac:dyDescent="0.25">
      <c r="A117" s="83"/>
      <c r="B117" s="808" t="s">
        <v>102</v>
      </c>
      <c r="C117" s="514"/>
      <c r="D117" s="496"/>
      <c r="E117" s="813"/>
      <c r="F117" s="835"/>
      <c r="G117" s="514"/>
      <c r="H117" s="496"/>
      <c r="I117" s="813"/>
      <c r="J117" s="835"/>
      <c r="K117" s="514"/>
      <c r="L117" s="496"/>
      <c r="M117" s="813"/>
      <c r="N117" s="835"/>
      <c r="O117" s="531">
        <v>1</v>
      </c>
      <c r="P117" s="491">
        <f>O117*T117</f>
        <v>123.31</v>
      </c>
      <c r="Q117" s="813"/>
      <c r="R117" s="496"/>
      <c r="T117" s="78">
        <f>SUM(ANALÍTICO!O1078)</f>
        <v>123.31</v>
      </c>
      <c r="U117" s="499">
        <f t="shared" si="2"/>
        <v>1</v>
      </c>
      <c r="W117" s="79">
        <f t="shared" si="3"/>
        <v>123.31</v>
      </c>
    </row>
    <row r="118" spans="1:23" s="524" customFormat="1" x14ac:dyDescent="0.25">
      <c r="A118" s="539"/>
      <c r="B118" s="807" t="str">
        <f>ANALÍTICO!D1080</f>
        <v>SEGUNDO PAVIMENTO</v>
      </c>
      <c r="C118" s="509"/>
      <c r="D118" s="491"/>
      <c r="E118" s="822"/>
      <c r="F118" s="842"/>
      <c r="G118" s="509"/>
      <c r="H118" s="491"/>
      <c r="I118" s="822"/>
      <c r="J118" s="842"/>
      <c r="K118" s="509"/>
      <c r="L118" s="491"/>
      <c r="M118" s="822"/>
      <c r="N118" s="842"/>
      <c r="O118" s="509"/>
      <c r="P118" s="491"/>
      <c r="Q118" s="822"/>
      <c r="R118" s="491"/>
      <c r="T118" s="537"/>
      <c r="U118" s="538"/>
    </row>
    <row r="119" spans="1:23" ht="30" x14ac:dyDescent="0.25">
      <c r="A119" s="81"/>
      <c r="B119" s="202" t="s">
        <v>97</v>
      </c>
      <c r="C119" s="514"/>
      <c r="D119" s="496"/>
      <c r="E119" s="813"/>
      <c r="F119" s="835"/>
      <c r="G119" s="514"/>
      <c r="H119" s="496"/>
      <c r="I119" s="813"/>
      <c r="J119" s="835"/>
      <c r="K119" s="509">
        <v>1</v>
      </c>
      <c r="L119" s="491">
        <f>K119*T119</f>
        <v>3115.4500000000003</v>
      </c>
      <c r="M119" s="813"/>
      <c r="N119" s="835"/>
      <c r="O119" s="514"/>
      <c r="P119" s="496"/>
      <c r="Q119" s="813"/>
      <c r="R119" s="496"/>
      <c r="T119" s="78">
        <f>ANALÍTICO!O1084+ANALÍTICO!O1092+ANALÍTICO!O1118+ANALÍTICO!O1120</f>
        <v>3115.4500000000003</v>
      </c>
      <c r="U119" s="499">
        <f t="shared" ref="U119:U124" si="4">C119+E119+G119+I119+K119+M119+O119+Q119</f>
        <v>1</v>
      </c>
      <c r="W119" s="79">
        <f t="shared" ref="W119:W124" si="5">D119+F119+H119+J119+L119+N119+P119+R119</f>
        <v>3115.4500000000003</v>
      </c>
    </row>
    <row r="120" spans="1:23" x14ac:dyDescent="0.25">
      <c r="A120" s="81"/>
      <c r="B120" s="202" t="s">
        <v>98</v>
      </c>
      <c r="C120" s="514"/>
      <c r="D120" s="496"/>
      <c r="E120" s="813"/>
      <c r="F120" s="835"/>
      <c r="G120" s="514"/>
      <c r="H120" s="496"/>
      <c r="I120" s="813"/>
      <c r="J120" s="835"/>
      <c r="K120" s="509">
        <v>1</v>
      </c>
      <c r="L120" s="491">
        <f>K120*T120</f>
        <v>3035.2</v>
      </c>
      <c r="M120" s="813"/>
      <c r="N120" s="835"/>
      <c r="O120" s="514"/>
      <c r="P120" s="496"/>
      <c r="Q120" s="813"/>
      <c r="R120" s="496"/>
      <c r="T120" s="78">
        <f>SUM(ANALÍTICO!O1100:O1109)</f>
        <v>3035.2</v>
      </c>
      <c r="U120" s="499">
        <f t="shared" si="4"/>
        <v>1</v>
      </c>
      <c r="W120" s="79">
        <f t="shared" si="5"/>
        <v>3035.2</v>
      </c>
    </row>
    <row r="121" spans="1:23" x14ac:dyDescent="0.25">
      <c r="A121" s="83"/>
      <c r="B121" s="202" t="s">
        <v>99</v>
      </c>
      <c r="C121" s="514"/>
      <c r="D121" s="496"/>
      <c r="E121" s="813"/>
      <c r="F121" s="835"/>
      <c r="G121" s="514"/>
      <c r="H121" s="496"/>
      <c r="I121" s="813"/>
      <c r="J121" s="835"/>
      <c r="K121" s="514"/>
      <c r="L121" s="496"/>
      <c r="M121" s="813"/>
      <c r="N121" s="835"/>
      <c r="O121" s="509">
        <v>1</v>
      </c>
      <c r="P121" s="491">
        <f>O121*T121</f>
        <v>8777.1799999999985</v>
      </c>
      <c r="Q121" s="813"/>
      <c r="R121" s="496"/>
      <c r="T121" s="78">
        <f>SUM(ANALÍTICO!O1124:O1174)</f>
        <v>8777.1799999999985</v>
      </c>
      <c r="U121" s="499">
        <f t="shared" si="4"/>
        <v>1</v>
      </c>
      <c r="W121" s="79">
        <f t="shared" si="5"/>
        <v>8777.1799999999985</v>
      </c>
    </row>
    <row r="122" spans="1:23" x14ac:dyDescent="0.25">
      <c r="A122" s="83"/>
      <c r="B122" s="808" t="s">
        <v>100</v>
      </c>
      <c r="C122" s="514"/>
      <c r="D122" s="496"/>
      <c r="E122" s="813"/>
      <c r="F122" s="835"/>
      <c r="G122" s="514"/>
      <c r="H122" s="496"/>
      <c r="I122" s="813"/>
      <c r="J122" s="835"/>
      <c r="K122" s="514"/>
      <c r="L122" s="496"/>
      <c r="M122" s="813"/>
      <c r="N122" s="835"/>
      <c r="O122" s="531">
        <v>1</v>
      </c>
      <c r="P122" s="491">
        <f>O122*T122</f>
        <v>9286.5399999999972</v>
      </c>
      <c r="Q122" s="813"/>
      <c r="R122" s="496"/>
      <c r="T122" s="78">
        <f>SUM(ANALÍTICO!O1180:O1229)</f>
        <v>9286.5399999999972</v>
      </c>
      <c r="U122" s="499">
        <f t="shared" si="4"/>
        <v>1</v>
      </c>
      <c r="W122" s="79">
        <f t="shared" si="5"/>
        <v>9286.5399999999972</v>
      </c>
    </row>
    <row r="123" spans="1:23" x14ac:dyDescent="0.25">
      <c r="A123" s="83"/>
      <c r="B123" s="808" t="s">
        <v>101</v>
      </c>
      <c r="C123" s="514"/>
      <c r="D123" s="496"/>
      <c r="E123" s="813"/>
      <c r="F123" s="835"/>
      <c r="G123" s="514"/>
      <c r="H123" s="496"/>
      <c r="I123" s="813"/>
      <c r="J123" s="835"/>
      <c r="K123" s="509">
        <v>1</v>
      </c>
      <c r="L123" s="491">
        <f>K123*T123</f>
        <v>396.96</v>
      </c>
      <c r="M123" s="813"/>
      <c r="N123" s="835"/>
      <c r="O123" s="514"/>
      <c r="P123" s="496"/>
      <c r="Q123" s="813"/>
      <c r="R123" s="496"/>
      <c r="T123" s="78">
        <f>SUM(ANALÍTICO!O1233:O1239)</f>
        <v>396.96</v>
      </c>
      <c r="U123" s="499">
        <f t="shared" si="4"/>
        <v>1</v>
      </c>
      <c r="W123" s="79">
        <f t="shared" si="5"/>
        <v>396.96</v>
      </c>
    </row>
    <row r="124" spans="1:23" ht="24" customHeight="1" x14ac:dyDescent="0.25">
      <c r="A124" s="83"/>
      <c r="B124" s="808" t="s">
        <v>102</v>
      </c>
      <c r="C124" s="514"/>
      <c r="D124" s="496"/>
      <c r="E124" s="813"/>
      <c r="F124" s="835"/>
      <c r="G124" s="514"/>
      <c r="H124" s="496"/>
      <c r="I124" s="813"/>
      <c r="J124" s="835"/>
      <c r="K124" s="514"/>
      <c r="L124" s="496"/>
      <c r="M124" s="813"/>
      <c r="N124" s="835"/>
      <c r="O124" s="531">
        <v>1</v>
      </c>
      <c r="P124" s="491">
        <f>O124*T124</f>
        <v>123.31</v>
      </c>
      <c r="Q124" s="813"/>
      <c r="R124" s="496"/>
      <c r="T124" s="78">
        <f>SUM(ANALÍTICO!O1243)</f>
        <v>123.31</v>
      </c>
      <c r="U124" s="499">
        <f t="shared" si="4"/>
        <v>1</v>
      </c>
      <c r="W124" s="79">
        <f t="shared" si="5"/>
        <v>123.31</v>
      </c>
    </row>
    <row r="125" spans="1:23" ht="24" customHeight="1" x14ac:dyDescent="0.25">
      <c r="A125" s="82"/>
      <c r="B125" s="799"/>
      <c r="C125" s="510"/>
      <c r="D125" s="492"/>
      <c r="E125" s="818"/>
      <c r="F125" s="839"/>
      <c r="G125" s="510"/>
      <c r="H125" s="492"/>
      <c r="I125" s="818"/>
      <c r="J125" s="839"/>
      <c r="K125" s="510"/>
      <c r="L125" s="492"/>
      <c r="M125" s="818"/>
      <c r="N125" s="839"/>
      <c r="O125" s="510"/>
      <c r="P125" s="492"/>
      <c r="Q125" s="818"/>
      <c r="R125" s="492"/>
      <c r="T125" s="78"/>
      <c r="U125" s="89"/>
    </row>
    <row r="126" spans="1:23" ht="30" x14ac:dyDescent="0.25">
      <c r="A126" s="493">
        <f>ANALÍTICO!C1246</f>
        <v>15</v>
      </c>
      <c r="B126" s="494" t="str">
        <f>ANALÍTICO!D1246</f>
        <v>INSTALAÇÕES DE DRENOS PARA AR CONDICIONADO</v>
      </c>
      <c r="C126" s="829"/>
      <c r="D126" s="521"/>
      <c r="E126" s="505"/>
      <c r="F126" s="495"/>
      <c r="G126" s="829"/>
      <c r="H126" s="521"/>
      <c r="I126" s="505"/>
      <c r="J126" s="495"/>
      <c r="K126" s="829"/>
      <c r="L126" s="521"/>
      <c r="M126" s="505"/>
      <c r="N126" s="495"/>
      <c r="O126" s="829"/>
      <c r="P126" s="521"/>
      <c r="Q126" s="505"/>
      <c r="R126" s="521"/>
      <c r="T126" s="500">
        <f>SUM(T128:T132)</f>
        <v>10851.04</v>
      </c>
      <c r="U126" s="501"/>
      <c r="W126" s="541">
        <f>RESUMO!C26</f>
        <v>10851.04</v>
      </c>
    </row>
    <row r="127" spans="1:23" x14ac:dyDescent="0.25">
      <c r="A127" s="82"/>
      <c r="B127" s="809" t="str">
        <f>ANALÍTICO!D1248</f>
        <v>PAVIMENTO TERREO</v>
      </c>
      <c r="C127" s="510"/>
      <c r="D127" s="492"/>
      <c r="E127" s="818"/>
      <c r="F127" s="839"/>
      <c r="G127" s="510"/>
      <c r="H127" s="492"/>
      <c r="I127" s="818"/>
      <c r="J127" s="839"/>
      <c r="K127" s="510"/>
      <c r="L127" s="492"/>
      <c r="M127" s="818"/>
      <c r="N127" s="839"/>
      <c r="O127" s="510"/>
      <c r="P127" s="492"/>
      <c r="Q127" s="818"/>
      <c r="R127" s="492"/>
      <c r="T127" s="78"/>
      <c r="U127" s="89"/>
    </row>
    <row r="128" spans="1:23" x14ac:dyDescent="0.25">
      <c r="A128" s="81"/>
      <c r="B128" s="202" t="s">
        <v>483</v>
      </c>
      <c r="C128" s="514"/>
      <c r="D128" s="496"/>
      <c r="E128" s="813"/>
      <c r="F128" s="835"/>
      <c r="G128" s="514"/>
      <c r="H128" s="496"/>
      <c r="I128" s="822">
        <v>1</v>
      </c>
      <c r="J128" s="842">
        <f>I128*T128</f>
        <v>3100.3</v>
      </c>
      <c r="K128" s="514"/>
      <c r="L128" s="496"/>
      <c r="M128" s="813"/>
      <c r="N128" s="835"/>
      <c r="O128" s="514"/>
      <c r="P128" s="496"/>
      <c r="Q128" s="813"/>
      <c r="R128" s="496"/>
      <c r="T128" s="78">
        <f>SUM(ANALÍTICO!O1252)</f>
        <v>3100.3</v>
      </c>
      <c r="U128" s="499">
        <f>C128+E128+G128+I128+K128+M128+O128+Q128</f>
        <v>1</v>
      </c>
      <c r="W128" s="79">
        <f>D128+F128+H128+J128+L128+N128+P128+R128</f>
        <v>3100.3</v>
      </c>
    </row>
    <row r="129" spans="1:23" x14ac:dyDescent="0.25">
      <c r="A129" s="82"/>
      <c r="B129" s="809" t="str">
        <f>ANALÍTICO!D1254</f>
        <v>PRIMEIRO PAVIMENTO</v>
      </c>
      <c r="C129" s="510"/>
      <c r="D129" s="492"/>
      <c r="E129" s="818"/>
      <c r="F129" s="839"/>
      <c r="G129" s="510"/>
      <c r="H129" s="492"/>
      <c r="I129" s="818"/>
      <c r="J129" s="839"/>
      <c r="K129" s="510"/>
      <c r="L129" s="492"/>
      <c r="M129" s="818"/>
      <c r="N129" s="839"/>
      <c r="O129" s="510"/>
      <c r="P129" s="492"/>
      <c r="Q129" s="818"/>
      <c r="R129" s="492"/>
      <c r="T129" s="78"/>
      <c r="U129" s="89"/>
    </row>
    <row r="130" spans="1:23" x14ac:dyDescent="0.25">
      <c r="A130" s="81"/>
      <c r="B130" s="202" t="s">
        <v>483</v>
      </c>
      <c r="C130" s="514"/>
      <c r="D130" s="496"/>
      <c r="E130" s="813"/>
      <c r="F130" s="835"/>
      <c r="G130" s="514"/>
      <c r="H130" s="496"/>
      <c r="I130" s="822">
        <v>1</v>
      </c>
      <c r="J130" s="842">
        <f>I130*T130</f>
        <v>3875.37</v>
      </c>
      <c r="K130" s="514"/>
      <c r="L130" s="496"/>
      <c r="M130" s="813"/>
      <c r="N130" s="835"/>
      <c r="O130" s="514"/>
      <c r="P130" s="496"/>
      <c r="Q130" s="813"/>
      <c r="R130" s="496"/>
      <c r="T130" s="78">
        <f>ANALÍTICO!O1258</f>
        <v>3875.37</v>
      </c>
      <c r="U130" s="499">
        <f>C130+E130+G130+I130+K130+M130+O130+Q130</f>
        <v>1</v>
      </c>
      <c r="W130" s="79">
        <f>D130+F130+H130+J130+L130+N130+P130+R130</f>
        <v>3875.37</v>
      </c>
    </row>
    <row r="131" spans="1:23" x14ac:dyDescent="0.25">
      <c r="A131" s="82"/>
      <c r="B131" s="809" t="str">
        <f>ANALÍTICO!D1260</f>
        <v>SEGUNDO PAVIMENTO</v>
      </c>
      <c r="C131" s="510"/>
      <c r="D131" s="492"/>
      <c r="E131" s="818"/>
      <c r="F131" s="839"/>
      <c r="G131" s="510"/>
      <c r="H131" s="492"/>
      <c r="I131" s="818"/>
      <c r="J131" s="839"/>
      <c r="K131" s="510"/>
      <c r="L131" s="492"/>
      <c r="M131" s="818"/>
      <c r="N131" s="839"/>
      <c r="O131" s="510"/>
      <c r="P131" s="492"/>
      <c r="Q131" s="818"/>
      <c r="R131" s="492"/>
      <c r="T131" s="78"/>
      <c r="U131" s="89"/>
    </row>
    <row r="132" spans="1:23" x14ac:dyDescent="0.25">
      <c r="A132" s="81"/>
      <c r="B132" s="202" t="s">
        <v>483</v>
      </c>
      <c r="C132" s="514"/>
      <c r="D132" s="496"/>
      <c r="E132" s="813"/>
      <c r="F132" s="835"/>
      <c r="G132" s="514"/>
      <c r="H132" s="496"/>
      <c r="I132" s="822">
        <v>1</v>
      </c>
      <c r="J132" s="842">
        <f>I132*T132</f>
        <v>3875.37</v>
      </c>
      <c r="K132" s="514"/>
      <c r="L132" s="496"/>
      <c r="M132" s="813"/>
      <c r="N132" s="835"/>
      <c r="O132" s="514"/>
      <c r="P132" s="496"/>
      <c r="Q132" s="813"/>
      <c r="R132" s="496"/>
      <c r="T132" s="78">
        <f>ANALÍTICO!O1264</f>
        <v>3875.37</v>
      </c>
      <c r="U132" s="499">
        <f>C132+E132+G132+I132+K132+M132+O132+Q132</f>
        <v>1</v>
      </c>
      <c r="W132" s="79">
        <f>D132+F132+H132+J132+L132+N132+P132+R132</f>
        <v>3875.37</v>
      </c>
    </row>
    <row r="133" spans="1:23" x14ac:dyDescent="0.25">
      <c r="A133" s="82"/>
      <c r="B133" s="810"/>
      <c r="C133" s="510"/>
      <c r="D133" s="492"/>
      <c r="E133" s="818"/>
      <c r="F133" s="839"/>
      <c r="G133" s="510"/>
      <c r="H133" s="492"/>
      <c r="I133" s="818"/>
      <c r="J133" s="839"/>
      <c r="K133" s="510"/>
      <c r="L133" s="492"/>
      <c r="M133" s="818"/>
      <c r="N133" s="839"/>
      <c r="O133" s="510"/>
      <c r="P133" s="492"/>
      <c r="Q133" s="818"/>
      <c r="R133" s="492"/>
      <c r="T133" s="78"/>
      <c r="U133" s="89"/>
    </row>
    <row r="134" spans="1:23" ht="30" x14ac:dyDescent="0.25">
      <c r="A134" s="493">
        <f>ANALÍTICO!C1267</f>
        <v>16</v>
      </c>
      <c r="B134" s="494" t="str">
        <f>ANALÍTICO!D1267</f>
        <v>INSTALAÇÕES DE PREVENÇÃO CONTRA INCÊNDIOS</v>
      </c>
      <c r="C134" s="829"/>
      <c r="D134" s="521"/>
      <c r="E134" s="505"/>
      <c r="F134" s="495"/>
      <c r="G134" s="829"/>
      <c r="H134" s="521"/>
      <c r="I134" s="505"/>
      <c r="J134" s="495"/>
      <c r="K134" s="829"/>
      <c r="L134" s="521"/>
      <c r="M134" s="505"/>
      <c r="N134" s="495"/>
      <c r="O134" s="829"/>
      <c r="P134" s="521"/>
      <c r="Q134" s="505"/>
      <c r="R134" s="521"/>
      <c r="T134" s="500">
        <f>T135</f>
        <v>5422.7999999999993</v>
      </c>
      <c r="U134" s="501"/>
      <c r="W134" s="541">
        <f>RESUMO!C27</f>
        <v>5422.7999999999993</v>
      </c>
    </row>
    <row r="135" spans="1:23" x14ac:dyDescent="0.25">
      <c r="A135" s="81"/>
      <c r="B135" s="202" t="s">
        <v>162</v>
      </c>
      <c r="C135" s="514"/>
      <c r="D135" s="496"/>
      <c r="E135" s="813"/>
      <c r="F135" s="835"/>
      <c r="G135" s="514"/>
      <c r="H135" s="496"/>
      <c r="I135" s="813"/>
      <c r="J135" s="835"/>
      <c r="K135" s="514"/>
      <c r="L135" s="496"/>
      <c r="M135" s="813"/>
      <c r="N135" s="835"/>
      <c r="O135" s="514"/>
      <c r="P135" s="496"/>
      <c r="Q135" s="822">
        <v>1</v>
      </c>
      <c r="R135" s="491">
        <f>Q135*T135</f>
        <v>5422.7999999999993</v>
      </c>
      <c r="T135" s="78">
        <f>ANALÍTICO!O1269+ANALÍTICO!O1273</f>
        <v>5422.7999999999993</v>
      </c>
      <c r="U135" s="499">
        <f>C135+E135+G135+I135+K135+M135+O135+Q135</f>
        <v>1</v>
      </c>
      <c r="W135" s="79">
        <f>D135+F135+H135+J135+L135+N135+P135+R135</f>
        <v>5422.7999999999993</v>
      </c>
    </row>
    <row r="136" spans="1:23" x14ac:dyDescent="0.25">
      <c r="A136" s="82"/>
      <c r="B136" s="799"/>
      <c r="C136" s="510"/>
      <c r="D136" s="492"/>
      <c r="E136" s="818"/>
      <c r="F136" s="839"/>
      <c r="G136" s="510"/>
      <c r="H136" s="492"/>
      <c r="I136" s="818"/>
      <c r="J136" s="839"/>
      <c r="K136" s="510"/>
      <c r="L136" s="492"/>
      <c r="M136" s="818"/>
      <c r="N136" s="839"/>
      <c r="O136" s="510"/>
      <c r="P136" s="492"/>
      <c r="Q136" s="818"/>
      <c r="R136" s="492"/>
      <c r="T136" s="78"/>
      <c r="U136" s="89"/>
    </row>
    <row r="137" spans="1:23" x14ac:dyDescent="0.25">
      <c r="A137" s="493">
        <f>ANALÍTICO!C1276</f>
        <v>17</v>
      </c>
      <c r="B137" s="494" t="str">
        <f>ANALÍTICO!D1276</f>
        <v>PINTURAS</v>
      </c>
      <c r="C137" s="829"/>
      <c r="D137" s="521"/>
      <c r="E137" s="505"/>
      <c r="F137" s="495"/>
      <c r="G137" s="829"/>
      <c r="H137" s="521"/>
      <c r="I137" s="505"/>
      <c r="J137" s="495"/>
      <c r="K137" s="829"/>
      <c r="L137" s="521"/>
      <c r="M137" s="505"/>
      <c r="N137" s="495"/>
      <c r="O137" s="829"/>
      <c r="P137" s="521"/>
      <c r="Q137" s="505"/>
      <c r="R137" s="521"/>
      <c r="T137" s="500">
        <f>SUM(T138:T167)</f>
        <v>126507.97999999998</v>
      </c>
      <c r="U137" s="501"/>
      <c r="W137" s="541">
        <f>ANALÍTICO!O1276</f>
        <v>126507.97999999998</v>
      </c>
    </row>
    <row r="138" spans="1:23" x14ac:dyDescent="0.25">
      <c r="A138" s="81"/>
      <c r="B138" s="202" t="s">
        <v>166</v>
      </c>
      <c r="C138" s="514"/>
      <c r="D138" s="496"/>
      <c r="E138" s="813"/>
      <c r="F138" s="835"/>
      <c r="G138" s="514"/>
      <c r="H138" s="496"/>
      <c r="I138" s="813"/>
      <c r="J138" s="835"/>
      <c r="K138" s="514"/>
      <c r="L138" s="496"/>
      <c r="M138" s="813"/>
      <c r="N138" s="835"/>
      <c r="O138" s="509">
        <v>1</v>
      </c>
      <c r="P138" s="491">
        <f>O138*T138</f>
        <v>3350.45</v>
      </c>
      <c r="Q138" s="813"/>
      <c r="R138" s="496"/>
      <c r="T138" s="78">
        <f>SUM(ANALÍTICO!O1280)</f>
        <v>3350.45</v>
      </c>
      <c r="U138" s="499">
        <f>C138+E138+G138+I138+K138+M138+O138+Q138</f>
        <v>1</v>
      </c>
      <c r="W138" s="79">
        <f>ANALÍTICO!O1280</f>
        <v>3350.45</v>
      </c>
    </row>
    <row r="139" spans="1:23" s="524" customFormat="1" x14ac:dyDescent="0.25">
      <c r="A139" s="539"/>
      <c r="B139" s="807" t="str">
        <f>ANALÍTICO!D1284</f>
        <v>PAVIMENTO SUBSOLO</v>
      </c>
      <c r="C139" s="509"/>
      <c r="D139" s="491"/>
      <c r="E139" s="822"/>
      <c r="F139" s="842"/>
      <c r="G139" s="509"/>
      <c r="H139" s="491"/>
      <c r="I139" s="822"/>
      <c r="J139" s="842"/>
      <c r="K139" s="509"/>
      <c r="L139" s="491"/>
      <c r="M139" s="822"/>
      <c r="N139" s="842"/>
      <c r="O139" s="509"/>
      <c r="P139" s="491"/>
      <c r="Q139" s="822"/>
      <c r="R139" s="491"/>
      <c r="T139" s="537"/>
      <c r="U139" s="538"/>
      <c r="W139" s="79"/>
    </row>
    <row r="140" spans="1:23" x14ac:dyDescent="0.25">
      <c r="A140" s="81"/>
      <c r="B140" s="202" t="str">
        <f>ANALÍTICO!D1286</f>
        <v>EMASSAMENTO com massa PVA</v>
      </c>
      <c r="C140" s="514"/>
      <c r="D140" s="496"/>
      <c r="E140" s="813"/>
      <c r="F140" s="835"/>
      <c r="G140" s="514"/>
      <c r="H140" s="496"/>
      <c r="I140" s="813"/>
      <c r="J140" s="835"/>
      <c r="K140" s="514"/>
      <c r="L140" s="496"/>
      <c r="M140" s="813"/>
      <c r="N140" s="835"/>
      <c r="O140" s="509">
        <v>1</v>
      </c>
      <c r="P140" s="491">
        <f>O140*T140</f>
        <v>6089.33</v>
      </c>
      <c r="Q140" s="813"/>
      <c r="R140" s="496"/>
      <c r="T140" s="78">
        <f>ANALÍTICO!O1286</f>
        <v>6089.33</v>
      </c>
      <c r="U140" s="499">
        <f t="shared" ref="U140:U166" si="6">C140+E140+G140+I140+K140+M140+O140+Q140</f>
        <v>1</v>
      </c>
      <c r="W140" s="79">
        <f>ANALÍTICO!O1286</f>
        <v>6089.33</v>
      </c>
    </row>
    <row r="141" spans="1:23" ht="45" x14ac:dyDescent="0.25">
      <c r="A141" s="81"/>
      <c r="B141" s="202" t="str">
        <f>ANALÍTICO!D1288</f>
        <v>PINTURA LATEX ACRILICA ambientes externos e internos - 2 demão - PAREDES</v>
      </c>
      <c r="C141" s="514"/>
      <c r="D141" s="496"/>
      <c r="E141" s="813"/>
      <c r="F141" s="835"/>
      <c r="G141" s="514"/>
      <c r="H141" s="496"/>
      <c r="I141" s="813"/>
      <c r="J141" s="835"/>
      <c r="K141" s="514"/>
      <c r="L141" s="496"/>
      <c r="M141" s="813"/>
      <c r="N141" s="835"/>
      <c r="O141" s="509">
        <v>1</v>
      </c>
      <c r="P141" s="491">
        <f>O141*T141</f>
        <v>7336.91</v>
      </c>
      <c r="Q141" s="813"/>
      <c r="R141" s="496"/>
      <c r="T141" s="78">
        <f>ANALÍTICO!O1288</f>
        <v>7336.91</v>
      </c>
      <c r="U141" s="499">
        <f t="shared" si="6"/>
        <v>1</v>
      </c>
      <c r="W141" s="79">
        <f>ANALÍTICO!O1288</f>
        <v>7336.91</v>
      </c>
    </row>
    <row r="142" spans="1:23" ht="30" x14ac:dyDescent="0.25">
      <c r="A142" s="81"/>
      <c r="B142" s="202" t="str">
        <f>ANALÍTICO!D1290</f>
        <v>PINTURA LATEX ACRILICA ambientes externos e internos - 2 demão - TETOS</v>
      </c>
      <c r="C142" s="514"/>
      <c r="D142" s="496"/>
      <c r="E142" s="813"/>
      <c r="F142" s="835"/>
      <c r="G142" s="514"/>
      <c r="H142" s="496"/>
      <c r="I142" s="813"/>
      <c r="J142" s="835"/>
      <c r="K142" s="514"/>
      <c r="L142" s="496"/>
      <c r="M142" s="813"/>
      <c r="N142" s="835"/>
      <c r="O142" s="509">
        <v>1</v>
      </c>
      <c r="P142" s="491">
        <f>O142*T142</f>
        <v>6817.82</v>
      </c>
      <c r="Q142" s="813"/>
      <c r="R142" s="496"/>
      <c r="T142" s="78">
        <f>ANALÍTICO!O1290</f>
        <v>6817.82</v>
      </c>
      <c r="U142" s="499">
        <f t="shared" si="6"/>
        <v>1</v>
      </c>
      <c r="W142" s="79">
        <f>D142+F142+H142+J142+L142+N142+P142+R142</f>
        <v>6817.82</v>
      </c>
    </row>
    <row r="143" spans="1:23" ht="45" x14ac:dyDescent="0.25">
      <c r="A143" s="83"/>
      <c r="B143" s="808" t="str">
        <f>ANALÍTICO!D1292</f>
        <v>PINTURA ESMALTE ACETINADO, em esquadrias de madeira, duas demão - incluisve preparo</v>
      </c>
      <c r="C143" s="514"/>
      <c r="D143" s="496"/>
      <c r="E143" s="813"/>
      <c r="F143" s="835"/>
      <c r="G143" s="514"/>
      <c r="H143" s="496"/>
      <c r="I143" s="813"/>
      <c r="J143" s="835"/>
      <c r="K143" s="514"/>
      <c r="L143" s="496"/>
      <c r="M143" s="813"/>
      <c r="N143" s="835"/>
      <c r="O143" s="509">
        <v>1</v>
      </c>
      <c r="P143" s="491">
        <f>O143*T143</f>
        <v>486.61</v>
      </c>
      <c r="Q143" s="813"/>
      <c r="R143" s="496"/>
      <c r="T143" s="78">
        <f>ANALÍTICO!O1292</f>
        <v>486.61</v>
      </c>
      <c r="U143" s="499">
        <f t="shared" si="6"/>
        <v>1</v>
      </c>
      <c r="W143" s="79">
        <f>D143+F143+H143+J143+L143+N143+P143+R143</f>
        <v>486.61</v>
      </c>
    </row>
    <row r="144" spans="1:23" ht="72.75" customHeight="1" x14ac:dyDescent="0.25">
      <c r="A144" s="83"/>
      <c r="B144" s="808" t="str">
        <f>ANALÍTICO!D1306</f>
        <v>PINTURA ESMALTE ACETINADO EM FERRO, duas demão, em todas as grades de janelas - inclusive preparo, lixamento e aplicação de fundo</v>
      </c>
      <c r="C144" s="514"/>
      <c r="D144" s="496"/>
      <c r="E144" s="813"/>
      <c r="F144" s="835"/>
      <c r="G144" s="514"/>
      <c r="H144" s="496"/>
      <c r="I144" s="813"/>
      <c r="J144" s="835"/>
      <c r="K144" s="514"/>
      <c r="L144" s="496"/>
      <c r="M144" s="813"/>
      <c r="N144" s="835"/>
      <c r="O144" s="509">
        <v>1</v>
      </c>
      <c r="P144" s="491">
        <f>O144*T144</f>
        <v>360.45</v>
      </c>
      <c r="Q144" s="813"/>
      <c r="R144" s="496"/>
      <c r="T144" s="78">
        <f>ANALÍTICO!O1306</f>
        <v>360.45</v>
      </c>
      <c r="U144" s="499">
        <f>C144+E144+G144+I144+K144+M144+O144+Q144</f>
        <v>1</v>
      </c>
      <c r="W144" s="79">
        <f>D144+F144+H144+J144+L144+N144+P144+R144</f>
        <v>360.45</v>
      </c>
    </row>
    <row r="145" spans="1:23" s="524" customFormat="1" x14ac:dyDescent="0.25">
      <c r="A145" s="539"/>
      <c r="B145" s="807" t="str">
        <f>ANALÍTICO!D1294</f>
        <v>PAVIMENTO TERREO</v>
      </c>
      <c r="C145" s="509"/>
      <c r="D145" s="491"/>
      <c r="E145" s="822"/>
      <c r="F145" s="842"/>
      <c r="G145" s="509"/>
      <c r="H145" s="491"/>
      <c r="I145" s="822"/>
      <c r="J145" s="842"/>
      <c r="K145" s="509"/>
      <c r="L145" s="491"/>
      <c r="M145" s="822"/>
      <c r="N145" s="842"/>
      <c r="O145" s="509"/>
      <c r="P145" s="491"/>
      <c r="Q145" s="822"/>
      <c r="R145" s="491"/>
      <c r="T145" s="537"/>
      <c r="U145" s="538"/>
      <c r="W145" s="79"/>
    </row>
    <row r="146" spans="1:23" x14ac:dyDescent="0.25">
      <c r="A146" s="81"/>
      <c r="B146" s="202" t="str">
        <f>ANALÍTICO!D1296</f>
        <v>EMASSAMENTO com massa PVA</v>
      </c>
      <c r="C146" s="514"/>
      <c r="D146" s="496"/>
      <c r="E146" s="813"/>
      <c r="F146" s="835"/>
      <c r="G146" s="514"/>
      <c r="H146" s="496"/>
      <c r="I146" s="813"/>
      <c r="J146" s="835"/>
      <c r="K146" s="514"/>
      <c r="L146" s="496"/>
      <c r="M146" s="813"/>
      <c r="N146" s="835"/>
      <c r="O146" s="509">
        <v>1</v>
      </c>
      <c r="P146" s="491">
        <f>O146*T146</f>
        <v>12302.16</v>
      </c>
      <c r="Q146" s="813"/>
      <c r="R146" s="496"/>
      <c r="T146" s="78">
        <f>ANALÍTICO!O1296</f>
        <v>12302.16</v>
      </c>
      <c r="U146" s="499">
        <f t="shared" si="6"/>
        <v>1</v>
      </c>
      <c r="W146" s="79">
        <f>D146+F146+H146+J146+L146+N146+P146+R146</f>
        <v>12302.16</v>
      </c>
    </row>
    <row r="147" spans="1:23" ht="45" x14ac:dyDescent="0.25">
      <c r="A147" s="81"/>
      <c r="B147" s="202" t="str">
        <f>ANALÍTICO!D1298</f>
        <v>PINTURA LATEX ACRILICA ambientes externos e internos - 2 demão - PAREDES</v>
      </c>
      <c r="C147" s="514"/>
      <c r="D147" s="496"/>
      <c r="E147" s="813"/>
      <c r="F147" s="835"/>
      <c r="G147" s="514"/>
      <c r="H147" s="496"/>
      <c r="I147" s="813"/>
      <c r="J147" s="835"/>
      <c r="K147" s="514"/>
      <c r="L147" s="496"/>
      <c r="M147" s="813"/>
      <c r="N147" s="835"/>
      <c r="O147" s="509">
        <v>1</v>
      </c>
      <c r="P147" s="491">
        <f>O147*T147</f>
        <v>14687.23</v>
      </c>
      <c r="Q147" s="813"/>
      <c r="R147" s="496"/>
      <c r="T147" s="78">
        <f>ANALÍTICO!O1298</f>
        <v>14687.23</v>
      </c>
      <c r="U147" s="499">
        <f t="shared" si="6"/>
        <v>1</v>
      </c>
      <c r="W147" s="79">
        <f>D147+F147+H147+J147+L147+N147+P147+R147</f>
        <v>14687.23</v>
      </c>
    </row>
    <row r="148" spans="1:23" ht="30" x14ac:dyDescent="0.25">
      <c r="A148" s="81"/>
      <c r="B148" s="202" t="str">
        <f>ANALÍTICO!D1300</f>
        <v>PINTURA LATEX ACRILICA ambientes externos e internos - 2 demão - TETOS</v>
      </c>
      <c r="C148" s="514"/>
      <c r="D148" s="496"/>
      <c r="E148" s="813"/>
      <c r="F148" s="835"/>
      <c r="G148" s="514"/>
      <c r="H148" s="496"/>
      <c r="I148" s="813"/>
      <c r="J148" s="835"/>
      <c r="K148" s="514"/>
      <c r="L148" s="496"/>
      <c r="M148" s="813"/>
      <c r="N148" s="835"/>
      <c r="O148" s="509">
        <v>1</v>
      </c>
      <c r="P148" s="491">
        <f>O148*T148</f>
        <v>135.37</v>
      </c>
      <c r="Q148" s="813"/>
      <c r="R148" s="496"/>
      <c r="T148" s="78">
        <f>ANALÍTICO!O1300</f>
        <v>135.37</v>
      </c>
      <c r="U148" s="499">
        <f t="shared" si="6"/>
        <v>1</v>
      </c>
      <c r="W148" s="79">
        <f>D148+F148+H148+J148+L148+N148+P148+R148</f>
        <v>135.37</v>
      </c>
    </row>
    <row r="149" spans="1:23" ht="45" x14ac:dyDescent="0.25">
      <c r="A149" s="83"/>
      <c r="B149" s="808" t="str">
        <f>ANALÍTICO!D1302</f>
        <v>PINTURA ESMALTE ACETINADO, em esquadrias de madeira, duas demão - incluisve preparo</v>
      </c>
      <c r="C149" s="514"/>
      <c r="D149" s="496"/>
      <c r="E149" s="813"/>
      <c r="F149" s="835"/>
      <c r="G149" s="514"/>
      <c r="H149" s="496"/>
      <c r="I149" s="813"/>
      <c r="J149" s="835"/>
      <c r="K149" s="514"/>
      <c r="L149" s="496"/>
      <c r="M149" s="813"/>
      <c r="N149" s="835"/>
      <c r="O149" s="509">
        <v>1</v>
      </c>
      <c r="P149" s="491">
        <f>O149*T149</f>
        <v>2065.39</v>
      </c>
      <c r="Q149" s="813"/>
      <c r="R149" s="496"/>
      <c r="T149" s="78">
        <f>ANALÍTICO!O1302</f>
        <v>2065.39</v>
      </c>
      <c r="U149" s="499">
        <f t="shared" si="6"/>
        <v>1</v>
      </c>
      <c r="W149" s="79">
        <f>D149+F149+H149+J149+L149+N149+P149+R149</f>
        <v>2065.39</v>
      </c>
    </row>
    <row r="150" spans="1:23" ht="75" x14ac:dyDescent="0.25">
      <c r="A150" s="83"/>
      <c r="B150" s="808" t="str">
        <f>ANALÍTICO!D1304</f>
        <v>PINTURA ESMALTE ACETINADO EM FERRO, duas demão, em todas as portas corta fogo e nas portas de enrolar da fachada - inclusive preparo, lixamento e aplicação de fundo</v>
      </c>
      <c r="C150" s="514"/>
      <c r="D150" s="496"/>
      <c r="E150" s="813"/>
      <c r="F150" s="835"/>
      <c r="G150" s="514"/>
      <c r="H150" s="496"/>
      <c r="I150" s="813"/>
      <c r="J150" s="835"/>
      <c r="K150" s="514"/>
      <c r="L150" s="496"/>
      <c r="M150" s="813"/>
      <c r="N150" s="835"/>
      <c r="O150" s="509">
        <v>1</v>
      </c>
      <c r="P150" s="491">
        <f>O150*T150</f>
        <v>2348.09</v>
      </c>
      <c r="Q150" s="813"/>
      <c r="R150" s="496"/>
      <c r="T150" s="78">
        <f>ANALÍTICO!O1304</f>
        <v>2348.09</v>
      </c>
      <c r="U150" s="499">
        <f t="shared" si="6"/>
        <v>1</v>
      </c>
      <c r="W150" s="79">
        <f>D150+F150+H150+J150+L150+N150+P150+R150</f>
        <v>2348.09</v>
      </c>
    </row>
    <row r="151" spans="1:23" s="524" customFormat="1" x14ac:dyDescent="0.25">
      <c r="A151" s="539"/>
      <c r="B151" s="807" t="str">
        <f>ANALÍTICO!D1308</f>
        <v>PRIMEIRO PAVIMENTO</v>
      </c>
      <c r="C151" s="509"/>
      <c r="D151" s="491"/>
      <c r="E151" s="822"/>
      <c r="F151" s="842"/>
      <c r="G151" s="509"/>
      <c r="H151" s="491"/>
      <c r="I151" s="822"/>
      <c r="J151" s="842"/>
      <c r="K151" s="509"/>
      <c r="L151" s="491"/>
      <c r="M151" s="822"/>
      <c r="N151" s="842"/>
      <c r="O151" s="509"/>
      <c r="P151" s="491"/>
      <c r="Q151" s="822"/>
      <c r="R151" s="491"/>
      <c r="T151" s="537"/>
      <c r="U151" s="538"/>
      <c r="W151" s="79"/>
    </row>
    <row r="152" spans="1:23" x14ac:dyDescent="0.25">
      <c r="A152" s="81"/>
      <c r="B152" s="202" t="str">
        <f>ANALÍTICO!D1310</f>
        <v>EMASSAMENTO com massa PVA</v>
      </c>
      <c r="C152" s="514"/>
      <c r="D152" s="496"/>
      <c r="E152" s="813"/>
      <c r="F152" s="835"/>
      <c r="G152" s="514"/>
      <c r="H152" s="496"/>
      <c r="I152" s="813"/>
      <c r="J152" s="835"/>
      <c r="K152" s="514"/>
      <c r="L152" s="496"/>
      <c r="M152" s="813"/>
      <c r="N152" s="835"/>
      <c r="O152" s="514"/>
      <c r="P152" s="496"/>
      <c r="Q152" s="822">
        <v>1</v>
      </c>
      <c r="R152" s="491">
        <f>Q152*T152</f>
        <v>8102.7</v>
      </c>
      <c r="T152" s="78">
        <f>ANALÍTICO!O1310</f>
        <v>8102.7</v>
      </c>
      <c r="U152" s="499">
        <f t="shared" si="6"/>
        <v>1</v>
      </c>
      <c r="W152" s="79">
        <f>D152+F152+H152+J152+L152+N152+P152+R152</f>
        <v>8102.7</v>
      </c>
    </row>
    <row r="153" spans="1:23" ht="45" x14ac:dyDescent="0.25">
      <c r="A153" s="81"/>
      <c r="B153" s="202" t="str">
        <f>ANALÍTICO!D1312</f>
        <v>PINTURA LATEX ACRILICA ambientes externos e internos - 2 demão - PAREDES</v>
      </c>
      <c r="C153" s="514"/>
      <c r="D153" s="496"/>
      <c r="E153" s="813"/>
      <c r="F153" s="835"/>
      <c r="G153" s="514"/>
      <c r="H153" s="496"/>
      <c r="I153" s="813"/>
      <c r="J153" s="835"/>
      <c r="K153" s="514"/>
      <c r="L153" s="496"/>
      <c r="M153" s="813"/>
      <c r="N153" s="835"/>
      <c r="O153" s="514"/>
      <c r="P153" s="496"/>
      <c r="Q153" s="822">
        <v>1</v>
      </c>
      <c r="R153" s="491">
        <f t="shared" ref="R153:R166" si="7">Q153*T153</f>
        <v>9634.7800000000007</v>
      </c>
      <c r="T153" s="78">
        <f>ANALÍTICO!O1312</f>
        <v>9634.7800000000007</v>
      </c>
      <c r="U153" s="499">
        <f t="shared" si="6"/>
        <v>1</v>
      </c>
      <c r="W153" s="79">
        <f>D153+F153+H153+J153+L153+N153+P153+R153</f>
        <v>9634.7800000000007</v>
      </c>
    </row>
    <row r="154" spans="1:23" ht="30" x14ac:dyDescent="0.25">
      <c r="A154" s="81"/>
      <c r="B154" s="202" t="str">
        <f>ANALÍTICO!D1314</f>
        <v>PINTURA LATEX ACRILICA ambientes externos e internos - 2 demão - TETOS</v>
      </c>
      <c r="C154" s="514"/>
      <c r="D154" s="496"/>
      <c r="E154" s="813"/>
      <c r="F154" s="835"/>
      <c r="G154" s="514"/>
      <c r="H154" s="496"/>
      <c r="I154" s="813"/>
      <c r="J154" s="835"/>
      <c r="K154" s="514"/>
      <c r="L154" s="496"/>
      <c r="M154" s="813"/>
      <c r="N154" s="835"/>
      <c r="O154" s="514"/>
      <c r="P154" s="496"/>
      <c r="Q154" s="822">
        <v>1</v>
      </c>
      <c r="R154" s="491">
        <f t="shared" si="7"/>
        <v>127.99</v>
      </c>
      <c r="T154" s="78">
        <f>ANALÍTICO!O1314</f>
        <v>127.99</v>
      </c>
      <c r="U154" s="499">
        <f t="shared" si="6"/>
        <v>1</v>
      </c>
      <c r="W154" s="79">
        <f>D154+F154+H154+J154+L154+N154+P154+R154</f>
        <v>127.99</v>
      </c>
    </row>
    <row r="155" spans="1:23" ht="45" x14ac:dyDescent="0.25">
      <c r="A155" s="83"/>
      <c r="B155" s="808" t="str">
        <f>ANALÍTICO!D1316</f>
        <v>PINTURA ESMALTE ACETINADO, em esquadrias de madeira, duas demão - incluisve preparo</v>
      </c>
      <c r="C155" s="514"/>
      <c r="D155" s="496"/>
      <c r="E155" s="813"/>
      <c r="F155" s="835"/>
      <c r="G155" s="514"/>
      <c r="H155" s="496"/>
      <c r="I155" s="813"/>
      <c r="J155" s="835"/>
      <c r="K155" s="514"/>
      <c r="L155" s="496"/>
      <c r="M155" s="813"/>
      <c r="N155" s="835"/>
      <c r="O155" s="514"/>
      <c r="P155" s="496"/>
      <c r="Q155" s="822">
        <v>1</v>
      </c>
      <c r="R155" s="491">
        <f t="shared" si="7"/>
        <v>2238.41</v>
      </c>
      <c r="T155" s="78">
        <f>ANALÍTICO!O1316</f>
        <v>2238.41</v>
      </c>
      <c r="U155" s="499">
        <f t="shared" si="6"/>
        <v>1</v>
      </c>
      <c r="W155" s="79">
        <f>D155+F155+H155+J155+L155+N155+P155+R155</f>
        <v>2238.41</v>
      </c>
    </row>
    <row r="156" spans="1:23" ht="60" x14ac:dyDescent="0.25">
      <c r="A156" s="83"/>
      <c r="B156" s="808" t="str">
        <f>ANALÍTICO!D1318</f>
        <v>PINTURA ESMALTE ACETINADO EM FERRO, duas demão, em todas as grades de janelas - inclusive preparo, lixamento e aplicação de fundo</v>
      </c>
      <c r="C156" s="514"/>
      <c r="D156" s="496"/>
      <c r="E156" s="813"/>
      <c r="F156" s="835"/>
      <c r="G156" s="514"/>
      <c r="H156" s="496"/>
      <c r="I156" s="813"/>
      <c r="J156" s="835"/>
      <c r="K156" s="514"/>
      <c r="L156" s="496"/>
      <c r="M156" s="813"/>
      <c r="N156" s="835"/>
      <c r="O156" s="514"/>
      <c r="P156" s="496"/>
      <c r="Q156" s="822">
        <v>1</v>
      </c>
      <c r="R156" s="491">
        <f>T156</f>
        <v>395.12</v>
      </c>
      <c r="T156" s="78">
        <f>ANALÍTICO!O1318</f>
        <v>395.12</v>
      </c>
      <c r="U156" s="499">
        <f>C156+E156+G156+I156+K156+M156+O156+Q156</f>
        <v>1</v>
      </c>
      <c r="W156" s="79">
        <f>D156+F156+H156+J156+L156+N156+P156+R156</f>
        <v>395.12</v>
      </c>
    </row>
    <row r="157" spans="1:23" s="524" customFormat="1" x14ac:dyDescent="0.25">
      <c r="A157" s="539"/>
      <c r="B157" s="807" t="str">
        <f>ANALÍTICO!D1320</f>
        <v>SEGUNDO PAVIMENTO</v>
      </c>
      <c r="C157" s="509"/>
      <c r="D157" s="491"/>
      <c r="E157" s="822"/>
      <c r="F157" s="842"/>
      <c r="G157" s="509"/>
      <c r="H157" s="491"/>
      <c r="I157" s="822"/>
      <c r="J157" s="842"/>
      <c r="K157" s="509"/>
      <c r="L157" s="491"/>
      <c r="M157" s="822"/>
      <c r="N157" s="842"/>
      <c r="O157" s="509"/>
      <c r="P157" s="491"/>
      <c r="Q157" s="822"/>
      <c r="R157" s="491"/>
      <c r="T157" s="537"/>
      <c r="U157" s="538"/>
      <c r="W157" s="79"/>
    </row>
    <row r="158" spans="1:23" x14ac:dyDescent="0.25">
      <c r="A158" s="81"/>
      <c r="B158" s="202" t="str">
        <f>ANALÍTICO!D1322</f>
        <v>EMASSAMENTO com massa PVA</v>
      </c>
      <c r="C158" s="514"/>
      <c r="D158" s="496"/>
      <c r="E158" s="813"/>
      <c r="F158" s="835"/>
      <c r="G158" s="514"/>
      <c r="H158" s="496"/>
      <c r="I158" s="813"/>
      <c r="J158" s="835"/>
      <c r="K158" s="514"/>
      <c r="L158" s="496"/>
      <c r="M158" s="813"/>
      <c r="N158" s="835"/>
      <c r="O158" s="514"/>
      <c r="P158" s="496"/>
      <c r="Q158" s="822">
        <v>1</v>
      </c>
      <c r="R158" s="491">
        <f t="shared" si="7"/>
        <v>8379.5</v>
      </c>
      <c r="T158" s="78">
        <f>ANALÍTICO!O1322</f>
        <v>8379.5</v>
      </c>
      <c r="U158" s="499">
        <f t="shared" si="6"/>
        <v>1</v>
      </c>
      <c r="W158" s="79">
        <f>ANALÍTICO!O1322</f>
        <v>8379.5</v>
      </c>
    </row>
    <row r="159" spans="1:23" ht="45" x14ac:dyDescent="0.25">
      <c r="A159" s="81"/>
      <c r="B159" s="202" t="str">
        <f>ANALÍTICO!D1324</f>
        <v>PINTURA LATEX ACRILICA ambientes externos e internos - 2 demão - PAREDES</v>
      </c>
      <c r="C159" s="514"/>
      <c r="D159" s="496"/>
      <c r="E159" s="813"/>
      <c r="F159" s="835"/>
      <c r="G159" s="514"/>
      <c r="H159" s="496"/>
      <c r="I159" s="813"/>
      <c r="J159" s="835"/>
      <c r="K159" s="514"/>
      <c r="L159" s="496"/>
      <c r="M159" s="813"/>
      <c r="N159" s="835"/>
      <c r="O159" s="514"/>
      <c r="P159" s="496"/>
      <c r="Q159" s="822">
        <v>1</v>
      </c>
      <c r="R159" s="491">
        <f t="shared" si="7"/>
        <v>9850.15</v>
      </c>
      <c r="T159" s="78">
        <f>ANALÍTICO!O1324</f>
        <v>9850.15</v>
      </c>
      <c r="U159" s="499">
        <f t="shared" si="6"/>
        <v>1</v>
      </c>
      <c r="W159" s="79">
        <f>ANALÍTICO!O1324</f>
        <v>9850.15</v>
      </c>
    </row>
    <row r="160" spans="1:23" ht="30" x14ac:dyDescent="0.25">
      <c r="A160" s="81"/>
      <c r="B160" s="202" t="str">
        <f>ANALÍTICO!D1326</f>
        <v>PINTURA LATEX ACRILICA ambientes externos e internos - 2 demão - TETOS</v>
      </c>
      <c r="C160" s="514"/>
      <c r="D160" s="496"/>
      <c r="E160" s="813"/>
      <c r="F160" s="835"/>
      <c r="G160" s="514"/>
      <c r="H160" s="496"/>
      <c r="I160" s="813"/>
      <c r="J160" s="835"/>
      <c r="K160" s="514"/>
      <c r="L160" s="496"/>
      <c r="M160" s="813"/>
      <c r="N160" s="835"/>
      <c r="O160" s="514"/>
      <c r="P160" s="496"/>
      <c r="Q160" s="822">
        <v>1</v>
      </c>
      <c r="R160" s="491">
        <f t="shared" si="7"/>
        <v>246.13</v>
      </c>
      <c r="T160" s="78">
        <f>ANALÍTICO!O1326</f>
        <v>246.13</v>
      </c>
      <c r="U160" s="499">
        <f t="shared" si="6"/>
        <v>1</v>
      </c>
      <c r="W160" s="79">
        <f>ANALÍTICO!O1326</f>
        <v>246.13</v>
      </c>
    </row>
    <row r="161" spans="1:23" ht="45" x14ac:dyDescent="0.25">
      <c r="A161" s="83"/>
      <c r="B161" s="808" t="str">
        <f>ANALÍTICO!D1328</f>
        <v>PINTURA ESMALTE ACETINADO, em esquadrias de madeira, duas demão - incluisve preparo</v>
      </c>
      <c r="C161" s="514"/>
      <c r="D161" s="496"/>
      <c r="E161" s="813"/>
      <c r="F161" s="835"/>
      <c r="G161" s="514"/>
      <c r="H161" s="496"/>
      <c r="I161" s="813"/>
      <c r="J161" s="835"/>
      <c r="K161" s="514"/>
      <c r="L161" s="496"/>
      <c r="M161" s="813"/>
      <c r="N161" s="835"/>
      <c r="O161" s="514"/>
      <c r="P161" s="496"/>
      <c r="Q161" s="822">
        <v>1</v>
      </c>
      <c r="R161" s="491">
        <f t="shared" si="7"/>
        <v>1849.12</v>
      </c>
      <c r="T161" s="78">
        <f>ANALÍTICO!O1328</f>
        <v>1849.12</v>
      </c>
      <c r="U161" s="499">
        <f t="shared" si="6"/>
        <v>1</v>
      </c>
      <c r="W161" s="79">
        <f>ANALÍTICO!O1328</f>
        <v>1849.12</v>
      </c>
    </row>
    <row r="162" spans="1:23" s="524" customFormat="1" x14ac:dyDescent="0.25">
      <c r="A162" s="539"/>
      <c r="B162" s="807" t="str">
        <f>ANALÍTICO!D1330</f>
        <v>PINTURA EM PAREDES EXTERNAS</v>
      </c>
      <c r="C162" s="509"/>
      <c r="D162" s="491"/>
      <c r="E162" s="822"/>
      <c r="F162" s="842"/>
      <c r="G162" s="509"/>
      <c r="H162" s="491"/>
      <c r="I162" s="822"/>
      <c r="J162" s="842"/>
      <c r="K162" s="509"/>
      <c r="L162" s="491"/>
      <c r="M162" s="822"/>
      <c r="N162" s="842"/>
      <c r="O162" s="509"/>
      <c r="P162" s="491"/>
      <c r="Q162" s="822"/>
      <c r="R162" s="491"/>
      <c r="T162" s="537"/>
      <c r="U162" s="538"/>
      <c r="W162" s="79"/>
    </row>
    <row r="163" spans="1:23" x14ac:dyDescent="0.25">
      <c r="A163" s="81"/>
      <c r="B163" s="202" t="str">
        <f>ANALÍTICO!D1332</f>
        <v>FACHADA A - FRENTE</v>
      </c>
      <c r="C163" s="514"/>
      <c r="D163" s="496"/>
      <c r="E163" s="813"/>
      <c r="F163" s="835"/>
      <c r="G163" s="514"/>
      <c r="H163" s="496"/>
      <c r="I163" s="813"/>
      <c r="J163" s="835"/>
      <c r="K163" s="514"/>
      <c r="L163" s="496"/>
      <c r="M163" s="813"/>
      <c r="N163" s="835"/>
      <c r="O163" s="514"/>
      <c r="P163" s="496"/>
      <c r="Q163" s="822">
        <v>1</v>
      </c>
      <c r="R163" s="491">
        <f t="shared" si="7"/>
        <v>4042.53</v>
      </c>
      <c r="T163" s="78">
        <f>ANALÍTICO!O1334</f>
        <v>4042.53</v>
      </c>
      <c r="U163" s="499">
        <f t="shared" si="6"/>
        <v>1</v>
      </c>
      <c r="W163" s="79">
        <f>ANALÍTICO!O1334</f>
        <v>4042.53</v>
      </c>
    </row>
    <row r="164" spans="1:23" x14ac:dyDescent="0.25">
      <c r="A164" s="81"/>
      <c r="B164" s="202" t="str">
        <f>ANALÍTICO!D1336</f>
        <v>FACHADA B - lateral direita</v>
      </c>
      <c r="C164" s="514"/>
      <c r="D164" s="496"/>
      <c r="E164" s="813"/>
      <c r="F164" s="835"/>
      <c r="G164" s="514"/>
      <c r="H164" s="496"/>
      <c r="I164" s="813"/>
      <c r="J164" s="835"/>
      <c r="K164" s="514"/>
      <c r="L164" s="496"/>
      <c r="M164" s="813"/>
      <c r="N164" s="835"/>
      <c r="O164" s="514"/>
      <c r="P164" s="496"/>
      <c r="Q164" s="822">
        <v>1</v>
      </c>
      <c r="R164" s="491">
        <f t="shared" si="7"/>
        <v>11517.5</v>
      </c>
      <c r="T164" s="78">
        <f>ANALÍTICO!O1338</f>
        <v>11517.5</v>
      </c>
      <c r="U164" s="499">
        <f t="shared" si="6"/>
        <v>1</v>
      </c>
      <c r="W164" s="79">
        <f>ANALÍTICO!O1338</f>
        <v>11517.5</v>
      </c>
    </row>
    <row r="165" spans="1:23" x14ac:dyDescent="0.25">
      <c r="A165" s="81"/>
      <c r="B165" s="202" t="str">
        <f>ANALÍTICO!D1340</f>
        <v>FACHADA C - lateral menor</v>
      </c>
      <c r="C165" s="514"/>
      <c r="D165" s="496"/>
      <c r="E165" s="813"/>
      <c r="F165" s="835"/>
      <c r="G165" s="514"/>
      <c r="H165" s="496"/>
      <c r="I165" s="813"/>
      <c r="J165" s="835"/>
      <c r="K165" s="514"/>
      <c r="L165" s="496"/>
      <c r="M165" s="813"/>
      <c r="N165" s="835"/>
      <c r="O165" s="514"/>
      <c r="P165" s="496"/>
      <c r="Q165" s="822">
        <v>1</v>
      </c>
      <c r="R165" s="491">
        <f t="shared" si="7"/>
        <v>7982.43</v>
      </c>
      <c r="T165" s="78">
        <f>ANALÍTICO!O1342</f>
        <v>7982.43</v>
      </c>
      <c r="U165" s="499">
        <f t="shared" si="6"/>
        <v>1</v>
      </c>
      <c r="W165" s="79">
        <f>ANALÍTICO!O1342</f>
        <v>7982.43</v>
      </c>
    </row>
    <row r="166" spans="1:23" x14ac:dyDescent="0.25">
      <c r="A166" s="83"/>
      <c r="B166" s="808" t="str">
        <f>ANALÍTICO!D1344</f>
        <v>FACHADA D - fundos</v>
      </c>
      <c r="C166" s="514"/>
      <c r="D166" s="496"/>
      <c r="E166" s="813"/>
      <c r="F166" s="835"/>
      <c r="G166" s="514"/>
      <c r="H166" s="496"/>
      <c r="I166" s="813"/>
      <c r="J166" s="835"/>
      <c r="K166" s="514"/>
      <c r="L166" s="496"/>
      <c r="M166" s="813"/>
      <c r="N166" s="835"/>
      <c r="O166" s="514"/>
      <c r="P166" s="496"/>
      <c r="Q166" s="822">
        <v>1</v>
      </c>
      <c r="R166" s="491">
        <f t="shared" si="7"/>
        <v>5473.66</v>
      </c>
      <c r="T166" s="78">
        <f>ANALÍTICO!O1346</f>
        <v>5473.66</v>
      </c>
      <c r="U166" s="499">
        <f t="shared" si="6"/>
        <v>1</v>
      </c>
      <c r="W166" s="79">
        <f>ANALÍTICO!O1346</f>
        <v>5473.66</v>
      </c>
    </row>
    <row r="167" spans="1:23" s="524" customFormat="1" x14ac:dyDescent="0.25">
      <c r="A167" s="539"/>
      <c r="B167" s="807" t="str">
        <f>ANALÍTICO!D1348</f>
        <v>PINTURA EM PISO</v>
      </c>
      <c r="C167" s="514"/>
      <c r="D167" s="496"/>
      <c r="E167" s="813"/>
      <c r="F167" s="835"/>
      <c r="G167" s="514"/>
      <c r="H167" s="496"/>
      <c r="I167" s="813"/>
      <c r="J167" s="835"/>
      <c r="K167" s="514"/>
      <c r="L167" s="496"/>
      <c r="M167" s="813"/>
      <c r="N167" s="835"/>
      <c r="O167" s="514"/>
      <c r="P167" s="496"/>
      <c r="Q167" s="822">
        <v>1</v>
      </c>
      <c r="R167" s="491">
        <f>Q167*T167</f>
        <v>688.15</v>
      </c>
      <c r="T167" s="78">
        <f>ANALÍTICO!O1350</f>
        <v>688.15</v>
      </c>
      <c r="U167" s="499">
        <f>C167+E167+G167+I167+K167+M167+O167+Q167</f>
        <v>1</v>
      </c>
      <c r="W167" s="79">
        <f>D167+F167+H167+J167+L167+N167+P167+R167</f>
        <v>688.15</v>
      </c>
    </row>
    <row r="168" spans="1:23" x14ac:dyDescent="0.25">
      <c r="A168" s="82"/>
      <c r="B168" s="799"/>
      <c r="C168" s="510"/>
      <c r="D168" s="492"/>
      <c r="E168" s="818"/>
      <c r="F168" s="839"/>
      <c r="G168" s="510"/>
      <c r="H168" s="492"/>
      <c r="I168" s="818"/>
      <c r="J168" s="839"/>
      <c r="K168" s="510"/>
      <c r="L168" s="492"/>
      <c r="M168" s="818"/>
      <c r="N168" s="839"/>
      <c r="O168" s="510"/>
      <c r="P168" s="492"/>
      <c r="Q168" s="818"/>
      <c r="R168" s="492"/>
      <c r="T168" s="78"/>
      <c r="U168" s="89"/>
    </row>
    <row r="169" spans="1:23" x14ac:dyDescent="0.25">
      <c r="A169" s="82"/>
      <c r="B169" s="799"/>
      <c r="C169" s="510"/>
      <c r="D169" s="492"/>
      <c r="E169" s="818"/>
      <c r="F169" s="839"/>
      <c r="G169" s="510"/>
      <c r="H169" s="492"/>
      <c r="I169" s="818"/>
      <c r="J169" s="839"/>
      <c r="K169" s="510"/>
      <c r="L169" s="492"/>
      <c r="M169" s="818"/>
      <c r="N169" s="839"/>
      <c r="O169" s="510"/>
      <c r="P169" s="492"/>
      <c r="Q169" s="818"/>
      <c r="R169" s="492"/>
      <c r="T169" s="78"/>
      <c r="U169" s="89"/>
    </row>
    <row r="170" spans="1:23" ht="30" x14ac:dyDescent="0.25">
      <c r="A170" s="493">
        <f>ANALÍTICO!C1352</f>
        <v>18</v>
      </c>
      <c r="B170" s="494" t="str">
        <f>ANALÍTICO!D1352</f>
        <v>SERVIÇOS COMPLEMENTARES E LIMPEZA DA OBRA</v>
      </c>
      <c r="C170" s="829"/>
      <c r="D170" s="521"/>
      <c r="E170" s="505"/>
      <c r="F170" s="495"/>
      <c r="G170" s="829"/>
      <c r="H170" s="521"/>
      <c r="I170" s="505"/>
      <c r="J170" s="495"/>
      <c r="K170" s="829"/>
      <c r="L170" s="521"/>
      <c r="M170" s="505"/>
      <c r="N170" s="495"/>
      <c r="O170" s="829"/>
      <c r="P170" s="521"/>
      <c r="Q170" s="505"/>
      <c r="R170" s="521"/>
      <c r="T170" s="500">
        <f>SUM(T171:T174)</f>
        <v>15974.609999999999</v>
      </c>
      <c r="U170" s="501"/>
      <c r="W170" s="541">
        <f>ANALÍTICO!O1352</f>
        <v>15974.609999999997</v>
      </c>
    </row>
    <row r="171" spans="1:23" x14ac:dyDescent="0.25">
      <c r="A171" s="81"/>
      <c r="B171" s="202" t="s">
        <v>103</v>
      </c>
      <c r="C171" s="514"/>
      <c r="D171" s="496"/>
      <c r="E171" s="813"/>
      <c r="F171" s="835"/>
      <c r="G171" s="514"/>
      <c r="H171" s="496"/>
      <c r="I171" s="813"/>
      <c r="J171" s="835"/>
      <c r="K171" s="514"/>
      <c r="L171" s="496"/>
      <c r="M171" s="813"/>
      <c r="N171" s="835"/>
      <c r="O171" s="514"/>
      <c r="P171" s="496"/>
      <c r="Q171" s="822">
        <v>1</v>
      </c>
      <c r="R171" s="491">
        <f>Q171*T171</f>
        <v>8371.2199999999993</v>
      </c>
      <c r="T171" s="78">
        <f>SUM(ANALÍTICO!O1356:O1367)</f>
        <v>8371.2199999999993</v>
      </c>
      <c r="U171" s="499">
        <f>C171+E171+G171+I171+K171+M171+O171+Q171</f>
        <v>1</v>
      </c>
      <c r="W171" s="79">
        <f>ANALÍTICO!O1356+ANALÍTICO!O1358+ANALÍTICO!O1360</f>
        <v>8371.2199999999993</v>
      </c>
    </row>
    <row r="172" spans="1:23" x14ac:dyDescent="0.25">
      <c r="A172" s="81"/>
      <c r="B172" s="202" t="s">
        <v>1041</v>
      </c>
      <c r="C172" s="514"/>
      <c r="D172" s="496"/>
      <c r="E172" s="813"/>
      <c r="F172" s="835"/>
      <c r="G172" s="514"/>
      <c r="H172" s="496"/>
      <c r="I172" s="813"/>
      <c r="J172" s="835"/>
      <c r="K172" s="514"/>
      <c r="L172" s="496"/>
      <c r="M172" s="813"/>
      <c r="N172" s="835"/>
      <c r="O172" s="514"/>
      <c r="P172" s="496"/>
      <c r="Q172" s="822">
        <v>1</v>
      </c>
      <c r="R172" s="491">
        <f>Q172*T172</f>
        <v>690.50999999999988</v>
      </c>
      <c r="T172" s="78">
        <f>ANALÍTICO!O1372+ANALÍTICO!O1376+ANALÍTICO!O1380+ANALÍTICO!O1384</f>
        <v>690.50999999999988</v>
      </c>
      <c r="U172" s="499">
        <f>C172+E172+G172+I172+K172+M172+O172+Q172</f>
        <v>1</v>
      </c>
      <c r="W172" s="79">
        <f>ANALÍTICO!O1372+ANALÍTICO!O1376+ANALÍTICO!O1380+ANALÍTICO!O1384</f>
        <v>690.50999999999988</v>
      </c>
    </row>
    <row r="173" spans="1:23" ht="30" x14ac:dyDescent="0.25">
      <c r="A173" s="81"/>
      <c r="B173" s="202" t="s">
        <v>104</v>
      </c>
      <c r="C173" s="514"/>
      <c r="D173" s="496"/>
      <c r="E173" s="813"/>
      <c r="F173" s="835"/>
      <c r="G173" s="514"/>
      <c r="H173" s="496"/>
      <c r="I173" s="813"/>
      <c r="J173" s="835"/>
      <c r="K173" s="514"/>
      <c r="L173" s="496"/>
      <c r="M173" s="813"/>
      <c r="N173" s="835"/>
      <c r="O173" s="514"/>
      <c r="P173" s="496"/>
      <c r="Q173" s="822">
        <v>1</v>
      </c>
      <c r="R173" s="491">
        <f>Q173*T173</f>
        <v>1031.92</v>
      </c>
      <c r="T173" s="78">
        <f>ANALÍTICO!O1392</f>
        <v>1031.92</v>
      </c>
      <c r="U173" s="499">
        <f>C173+E173+G173+I173+K173+M173+O173+Q173</f>
        <v>1</v>
      </c>
      <c r="W173" s="79">
        <f>ANALÍTICO!O1392</f>
        <v>1031.92</v>
      </c>
    </row>
    <row r="174" spans="1:23" ht="31.5" customHeight="1" x14ac:dyDescent="0.25">
      <c r="A174" s="81"/>
      <c r="B174" s="202" t="s">
        <v>1042</v>
      </c>
      <c r="C174" s="514"/>
      <c r="D174" s="496"/>
      <c r="E174" s="813"/>
      <c r="F174" s="835"/>
      <c r="G174" s="514"/>
      <c r="H174" s="496"/>
      <c r="I174" s="813"/>
      <c r="J174" s="835"/>
      <c r="K174" s="514"/>
      <c r="L174" s="496"/>
      <c r="M174" s="813"/>
      <c r="N174" s="835"/>
      <c r="O174" s="514"/>
      <c r="P174" s="496"/>
      <c r="Q174" s="822">
        <v>1</v>
      </c>
      <c r="R174" s="491">
        <f>Q174*T174</f>
        <v>5880.9599999999991</v>
      </c>
      <c r="T174" s="78">
        <f>ANALÍTICO!O1390+ANALÍTICO!O1394</f>
        <v>5880.9599999999991</v>
      </c>
      <c r="U174" s="499">
        <f>C174+E174+G174+I174+K174+M174+O174+Q174</f>
        <v>1</v>
      </c>
      <c r="W174" s="79">
        <f>ANALÍTICO!O1390+ANALÍTICO!O1394</f>
        <v>5880.9599999999991</v>
      </c>
    </row>
    <row r="175" spans="1:23" x14ac:dyDescent="0.25">
      <c r="A175" s="82"/>
      <c r="B175" s="799"/>
      <c r="C175" s="510"/>
      <c r="D175" s="492"/>
      <c r="E175" s="818"/>
      <c r="F175" s="839"/>
      <c r="G175" s="510"/>
      <c r="H175" s="492"/>
      <c r="I175" s="818"/>
      <c r="J175" s="839"/>
      <c r="K175" s="510"/>
      <c r="L175" s="492"/>
      <c r="M175" s="818"/>
      <c r="N175" s="839"/>
      <c r="O175" s="510"/>
      <c r="P175" s="492"/>
      <c r="Q175" s="818"/>
      <c r="R175" s="492"/>
      <c r="T175" s="78"/>
      <c r="U175" s="89"/>
    </row>
    <row r="176" spans="1:23" x14ac:dyDescent="0.25">
      <c r="A176" s="493">
        <v>19</v>
      </c>
      <c r="B176" s="494" t="s">
        <v>163</v>
      </c>
      <c r="C176" s="832"/>
      <c r="D176" s="521"/>
      <c r="E176" s="776"/>
      <c r="F176" s="495"/>
      <c r="G176" s="832"/>
      <c r="H176" s="521"/>
      <c r="I176" s="776"/>
      <c r="J176" s="495"/>
      <c r="K176" s="832"/>
      <c r="L176" s="521"/>
      <c r="M176" s="776"/>
      <c r="N176" s="495"/>
      <c r="O176" s="832"/>
      <c r="P176" s="521"/>
      <c r="Q176" s="776"/>
      <c r="R176" s="521"/>
      <c r="T176" s="500">
        <f>SUM(T177:T184)</f>
        <v>387946.61038799997</v>
      </c>
      <c r="U176" s="501"/>
      <c r="W176" s="541"/>
    </row>
    <row r="177" spans="1:229" ht="30" x14ac:dyDescent="0.25">
      <c r="A177" s="88"/>
      <c r="B177" s="201" t="s">
        <v>1065</v>
      </c>
      <c r="C177" s="777">
        <v>0.2</v>
      </c>
      <c r="D177" s="778">
        <f>C177*$T177</f>
        <v>1106.1289224</v>
      </c>
      <c r="E177" s="823">
        <v>0.2</v>
      </c>
      <c r="F177" s="843">
        <f>E177*$T177</f>
        <v>1106.1289224</v>
      </c>
      <c r="G177" s="777">
        <v>0.1</v>
      </c>
      <c r="H177" s="778">
        <f>G177*$T177</f>
        <v>553.06446119999998</v>
      </c>
      <c r="I177" s="823">
        <v>0.1</v>
      </c>
      <c r="J177" s="843">
        <f>I177*$T177</f>
        <v>553.06446119999998</v>
      </c>
      <c r="K177" s="777">
        <v>0.1</v>
      </c>
      <c r="L177" s="778">
        <f>K177*$T177</f>
        <v>553.06446119999998</v>
      </c>
      <c r="M177" s="823">
        <v>0.1</v>
      </c>
      <c r="N177" s="843">
        <f>M177*$T177</f>
        <v>553.06446119999998</v>
      </c>
      <c r="O177" s="777">
        <v>0.1</v>
      </c>
      <c r="P177" s="778">
        <f>O177*$T177</f>
        <v>553.06446119999998</v>
      </c>
      <c r="Q177" s="823">
        <v>0.1</v>
      </c>
      <c r="R177" s="778">
        <f>Q177*$T177</f>
        <v>553.06446119999998</v>
      </c>
      <c r="T177" s="78">
        <f>'ANALÍTICO ELÉTRICO E LÓGICO'!P13</f>
        <v>5530.6446119999991</v>
      </c>
      <c r="U177" s="89"/>
      <c r="X177" s="80"/>
    </row>
    <row r="178" spans="1:229" ht="30" x14ac:dyDescent="0.25">
      <c r="A178" s="81"/>
      <c r="B178" s="202" t="s">
        <v>1096</v>
      </c>
      <c r="C178" s="779"/>
      <c r="D178" s="780"/>
      <c r="E178" s="824"/>
      <c r="F178" s="844"/>
      <c r="G178" s="779"/>
      <c r="H178" s="780"/>
      <c r="I178" s="823">
        <v>0.3</v>
      </c>
      <c r="J178" s="843">
        <f t="shared" ref="J178:J181" si="8">I178*$T178</f>
        <v>22281.940512000001</v>
      </c>
      <c r="K178" s="777">
        <v>0.3</v>
      </c>
      <c r="L178" s="778">
        <f t="shared" ref="L178:L181" si="9">K178*$T178</f>
        <v>22281.940512000001</v>
      </c>
      <c r="M178" s="823">
        <v>0.4</v>
      </c>
      <c r="N178" s="843">
        <f t="shared" ref="N178:N184" si="10">M178*$T178</f>
        <v>29709.254016000006</v>
      </c>
      <c r="O178" s="779"/>
      <c r="P178" s="780"/>
      <c r="Q178" s="824"/>
      <c r="R178" s="780"/>
      <c r="T178" s="78">
        <f>'ANALÍTICO ELÉTRICO E LÓGICO'!P41</f>
        <v>74273.135040000008</v>
      </c>
      <c r="U178" s="89"/>
      <c r="X178" s="80"/>
    </row>
    <row r="179" spans="1:229" x14ac:dyDescent="0.25">
      <c r="A179" s="197"/>
      <c r="B179" s="203" t="s">
        <v>1247</v>
      </c>
      <c r="C179" s="779"/>
      <c r="D179" s="780"/>
      <c r="E179" s="823">
        <v>0.2</v>
      </c>
      <c r="F179" s="843">
        <f>E179*$T179</f>
        <v>11216.376388799999</v>
      </c>
      <c r="G179" s="777">
        <v>0.2</v>
      </c>
      <c r="H179" s="778">
        <f t="shared" ref="H179:H180" si="11">G179*$T179</f>
        <v>11216.376388799999</v>
      </c>
      <c r="I179" s="823">
        <v>0.2</v>
      </c>
      <c r="J179" s="843">
        <f t="shared" si="8"/>
        <v>11216.376388799999</v>
      </c>
      <c r="K179" s="777">
        <v>0.2</v>
      </c>
      <c r="L179" s="778">
        <f t="shared" si="9"/>
        <v>11216.376388799999</v>
      </c>
      <c r="M179" s="823">
        <v>0.1</v>
      </c>
      <c r="N179" s="843">
        <f t="shared" si="10"/>
        <v>5608.1881943999997</v>
      </c>
      <c r="O179" s="777">
        <v>0.1</v>
      </c>
      <c r="P179" s="778">
        <f t="shared" ref="P179:P184" si="12">O179*$T179</f>
        <v>5608.1881943999997</v>
      </c>
      <c r="Q179" s="824"/>
      <c r="R179" s="780"/>
      <c r="S179" s="80"/>
      <c r="T179" s="199">
        <f>'ANALÍTICO ELÉTRICO E LÓGICO'!P235</f>
        <v>56081.881943999993</v>
      </c>
      <c r="U179" s="89"/>
      <c r="V179" s="80"/>
      <c r="W179" s="80"/>
      <c r="X179" s="80"/>
      <c r="Y179" s="80"/>
      <c r="Z179" s="80"/>
      <c r="AA179" s="80"/>
      <c r="AB179" s="80"/>
      <c r="AC179" s="80"/>
      <c r="AD179" s="80"/>
      <c r="AE179" s="80"/>
      <c r="AF179" s="80"/>
      <c r="AG179" s="80"/>
      <c r="AH179" s="80"/>
      <c r="AI179" s="80"/>
      <c r="AJ179" s="80"/>
      <c r="AK179" s="80"/>
      <c r="AL179" s="80"/>
      <c r="AM179" s="80"/>
      <c r="AN179" s="80"/>
      <c r="AO179" s="80"/>
      <c r="AP179" s="80"/>
      <c r="AQ179" s="80"/>
      <c r="AR179" s="80"/>
      <c r="AS179" s="80"/>
      <c r="AT179" s="80"/>
      <c r="AU179" s="80"/>
      <c r="AV179" s="80"/>
      <c r="AW179" s="80"/>
      <c r="AX179" s="80"/>
      <c r="AY179" s="80"/>
      <c r="AZ179" s="80"/>
      <c r="BA179" s="80"/>
      <c r="BB179" s="80"/>
      <c r="BC179" s="80"/>
      <c r="BD179" s="80"/>
      <c r="BE179" s="80"/>
      <c r="BF179" s="80"/>
      <c r="BG179" s="80"/>
      <c r="BH179" s="80"/>
      <c r="BI179" s="80"/>
      <c r="BJ179" s="80"/>
      <c r="BK179" s="80"/>
      <c r="BL179" s="80"/>
      <c r="BM179" s="80"/>
      <c r="BN179" s="80"/>
      <c r="BO179" s="80"/>
      <c r="BP179" s="80"/>
      <c r="BQ179" s="80"/>
      <c r="BR179" s="80"/>
      <c r="BS179" s="80"/>
      <c r="BT179" s="80"/>
      <c r="BU179" s="80"/>
      <c r="BV179" s="80"/>
      <c r="BW179" s="80"/>
      <c r="BX179" s="80"/>
      <c r="BY179" s="80"/>
      <c r="BZ179" s="80"/>
      <c r="CA179" s="80"/>
      <c r="CB179" s="80"/>
      <c r="CC179" s="80"/>
      <c r="CD179" s="80"/>
      <c r="CE179" s="80"/>
      <c r="CF179" s="80"/>
      <c r="CG179" s="80"/>
      <c r="CH179" s="80"/>
      <c r="CI179" s="80"/>
      <c r="CJ179" s="80"/>
      <c r="CK179" s="80"/>
      <c r="CL179" s="80"/>
      <c r="CM179" s="80"/>
      <c r="CN179" s="80"/>
      <c r="CO179" s="80"/>
      <c r="CP179" s="80"/>
      <c r="CQ179" s="80"/>
      <c r="CR179" s="80"/>
      <c r="CS179" s="80"/>
      <c r="CT179" s="80"/>
      <c r="CU179" s="80"/>
      <c r="CV179" s="80"/>
      <c r="CW179" s="80"/>
      <c r="CX179" s="80"/>
      <c r="CY179" s="80"/>
      <c r="CZ179" s="80"/>
      <c r="DA179" s="80"/>
      <c r="DB179" s="80"/>
      <c r="DC179" s="80"/>
      <c r="DD179" s="80"/>
      <c r="DE179" s="80"/>
      <c r="DF179" s="80"/>
      <c r="DG179" s="80"/>
      <c r="DH179" s="80"/>
      <c r="DI179" s="80"/>
      <c r="DJ179" s="80"/>
      <c r="DK179" s="80"/>
      <c r="DL179" s="80"/>
      <c r="DM179" s="80"/>
      <c r="DN179" s="80"/>
      <c r="DO179" s="80"/>
      <c r="DP179" s="80"/>
      <c r="DQ179" s="80"/>
      <c r="DR179" s="80"/>
      <c r="DS179" s="80"/>
      <c r="DT179" s="80"/>
      <c r="DU179" s="80"/>
      <c r="DV179" s="80"/>
      <c r="DW179" s="80"/>
      <c r="DX179" s="80"/>
      <c r="DY179" s="80"/>
      <c r="DZ179" s="80"/>
      <c r="EA179" s="80"/>
      <c r="EB179" s="80"/>
      <c r="EC179" s="80"/>
      <c r="ED179" s="80"/>
      <c r="EE179" s="80"/>
      <c r="EF179" s="80"/>
      <c r="EG179" s="80"/>
      <c r="EH179" s="80"/>
      <c r="EI179" s="80"/>
      <c r="EJ179" s="80"/>
      <c r="EK179" s="80"/>
      <c r="EL179" s="80"/>
      <c r="EM179" s="80"/>
      <c r="EN179" s="80"/>
      <c r="EO179" s="80"/>
      <c r="EP179" s="80"/>
      <c r="EQ179" s="80"/>
      <c r="ER179" s="80"/>
      <c r="ES179" s="80"/>
      <c r="ET179" s="80"/>
      <c r="EU179" s="80"/>
      <c r="EV179" s="80"/>
      <c r="EW179" s="80"/>
      <c r="EX179" s="80"/>
      <c r="EY179" s="80"/>
      <c r="EZ179" s="80"/>
      <c r="FA179" s="80"/>
      <c r="FB179" s="80"/>
      <c r="FC179" s="80"/>
      <c r="FD179" s="80"/>
      <c r="FE179" s="80"/>
      <c r="FF179" s="80"/>
      <c r="FG179" s="80"/>
      <c r="FH179" s="80"/>
      <c r="FI179" s="80"/>
      <c r="FJ179" s="80"/>
      <c r="FK179" s="80"/>
      <c r="FL179" s="80"/>
      <c r="FM179" s="80"/>
      <c r="FN179" s="80"/>
      <c r="FO179" s="80"/>
      <c r="FP179" s="80"/>
      <c r="FQ179" s="80"/>
      <c r="FR179" s="80"/>
      <c r="FS179" s="80"/>
      <c r="FT179" s="80"/>
      <c r="FU179" s="80"/>
      <c r="FV179" s="80"/>
      <c r="FW179" s="80"/>
      <c r="FX179" s="80"/>
      <c r="FY179" s="80"/>
      <c r="FZ179" s="80"/>
      <c r="GA179" s="80"/>
      <c r="GB179" s="80"/>
      <c r="GC179" s="80"/>
      <c r="GD179" s="80"/>
      <c r="GE179" s="80"/>
      <c r="GF179" s="80"/>
      <c r="GG179" s="80"/>
      <c r="GH179" s="80"/>
      <c r="GI179" s="80"/>
      <c r="GJ179" s="80"/>
      <c r="GK179" s="80"/>
      <c r="GL179" s="80"/>
      <c r="GM179" s="80"/>
      <c r="GN179" s="80"/>
      <c r="GO179" s="80"/>
      <c r="GP179" s="80"/>
      <c r="GQ179" s="80"/>
      <c r="GR179" s="80"/>
      <c r="GS179" s="80"/>
      <c r="GT179" s="80"/>
      <c r="GU179" s="80"/>
      <c r="GV179" s="80"/>
      <c r="GW179" s="80"/>
      <c r="GX179" s="80"/>
      <c r="GY179" s="80"/>
      <c r="GZ179" s="80"/>
      <c r="HA179" s="80"/>
      <c r="HB179" s="80"/>
      <c r="HC179" s="80"/>
      <c r="HD179" s="80"/>
      <c r="HE179" s="80"/>
      <c r="HF179" s="80"/>
      <c r="HG179" s="80"/>
      <c r="HH179" s="80"/>
      <c r="HI179" s="80"/>
      <c r="HJ179" s="80"/>
      <c r="HK179" s="80"/>
      <c r="HL179" s="80"/>
      <c r="HM179" s="80"/>
      <c r="HN179" s="80"/>
      <c r="HO179" s="80"/>
      <c r="HP179" s="80"/>
      <c r="HQ179" s="80"/>
      <c r="HR179" s="80"/>
      <c r="HS179" s="80"/>
      <c r="HT179" s="80"/>
      <c r="HU179" s="80"/>
    </row>
    <row r="180" spans="1:229" x14ac:dyDescent="0.25">
      <c r="A180" s="197"/>
      <c r="B180" s="203" t="s">
        <v>164</v>
      </c>
      <c r="C180" s="779"/>
      <c r="D180" s="780"/>
      <c r="E180" s="824"/>
      <c r="F180" s="844"/>
      <c r="G180" s="777">
        <v>0.2</v>
      </c>
      <c r="H180" s="778">
        <f t="shared" si="11"/>
        <v>25214.359435199993</v>
      </c>
      <c r="I180" s="823">
        <v>0.2</v>
      </c>
      <c r="J180" s="843">
        <f t="shared" si="8"/>
        <v>25214.359435199993</v>
      </c>
      <c r="K180" s="777">
        <v>0.2</v>
      </c>
      <c r="L180" s="778">
        <f t="shared" si="9"/>
        <v>25214.359435199993</v>
      </c>
      <c r="M180" s="823">
        <v>0.2</v>
      </c>
      <c r="N180" s="843">
        <f t="shared" si="10"/>
        <v>25214.359435199993</v>
      </c>
      <c r="O180" s="777">
        <v>0.2</v>
      </c>
      <c r="P180" s="778">
        <f t="shared" si="12"/>
        <v>25214.359435199993</v>
      </c>
      <c r="Q180" s="824"/>
      <c r="R180" s="780"/>
      <c r="S180" s="80"/>
      <c r="T180" s="199">
        <f>'ANALÍTICO ELÉTRICO E LÓGICO'!P453</f>
        <v>126071.79717599996</v>
      </c>
      <c r="U180" s="89"/>
      <c r="V180" s="80"/>
      <c r="W180" s="80"/>
      <c r="X180" s="80"/>
      <c r="Y180" s="80"/>
      <c r="Z180" s="80"/>
      <c r="AA180" s="80"/>
      <c r="AB180" s="80"/>
      <c r="AC180" s="80"/>
      <c r="AD180" s="80"/>
      <c r="AE180" s="80"/>
      <c r="AF180" s="80"/>
      <c r="AG180" s="80"/>
      <c r="AH180" s="80"/>
      <c r="AI180" s="80"/>
      <c r="AJ180" s="80"/>
      <c r="AK180" s="80"/>
      <c r="AL180" s="80"/>
      <c r="AM180" s="80"/>
      <c r="AN180" s="80"/>
      <c r="AO180" s="80"/>
      <c r="AP180" s="80"/>
      <c r="AQ180" s="80"/>
      <c r="AR180" s="80"/>
      <c r="AS180" s="80"/>
      <c r="AT180" s="80"/>
      <c r="AU180" s="80"/>
      <c r="AV180" s="80"/>
      <c r="AW180" s="80"/>
      <c r="AX180" s="80"/>
      <c r="AY180" s="80"/>
      <c r="AZ180" s="80"/>
      <c r="BA180" s="80"/>
      <c r="BB180" s="80"/>
      <c r="BC180" s="80"/>
      <c r="BD180" s="80"/>
      <c r="BE180" s="80"/>
      <c r="BF180" s="80"/>
      <c r="BG180" s="80"/>
      <c r="BH180" s="80"/>
      <c r="BI180" s="80"/>
      <c r="BJ180" s="80"/>
      <c r="BK180" s="80"/>
      <c r="BL180" s="80"/>
      <c r="BM180" s="80"/>
      <c r="BN180" s="80"/>
      <c r="BO180" s="80"/>
      <c r="BP180" s="80"/>
      <c r="BQ180" s="80"/>
      <c r="BR180" s="80"/>
      <c r="BS180" s="80"/>
      <c r="BT180" s="80"/>
      <c r="BU180" s="80"/>
      <c r="BV180" s="80"/>
      <c r="BW180" s="80"/>
      <c r="BX180" s="80"/>
      <c r="BY180" s="80"/>
      <c r="BZ180" s="80"/>
      <c r="CA180" s="80"/>
      <c r="CB180" s="80"/>
      <c r="CC180" s="80"/>
      <c r="CD180" s="80"/>
      <c r="CE180" s="80"/>
      <c r="CF180" s="80"/>
      <c r="CG180" s="80"/>
      <c r="CH180" s="80"/>
      <c r="CI180" s="80"/>
      <c r="CJ180" s="80"/>
      <c r="CK180" s="80"/>
      <c r="CL180" s="80"/>
      <c r="CM180" s="80"/>
      <c r="CN180" s="80"/>
      <c r="CO180" s="80"/>
      <c r="CP180" s="80"/>
      <c r="CQ180" s="80"/>
      <c r="CR180" s="80"/>
      <c r="CS180" s="80"/>
      <c r="CT180" s="80"/>
      <c r="CU180" s="80"/>
      <c r="CV180" s="80"/>
      <c r="CW180" s="80"/>
      <c r="CX180" s="80"/>
      <c r="CY180" s="80"/>
      <c r="CZ180" s="80"/>
      <c r="DA180" s="80"/>
      <c r="DB180" s="80"/>
      <c r="DC180" s="80"/>
      <c r="DD180" s="80"/>
      <c r="DE180" s="80"/>
      <c r="DF180" s="80"/>
      <c r="DG180" s="80"/>
      <c r="DH180" s="80"/>
      <c r="DI180" s="80"/>
      <c r="DJ180" s="80"/>
      <c r="DK180" s="80"/>
      <c r="DL180" s="80"/>
      <c r="DM180" s="80"/>
      <c r="DN180" s="80"/>
      <c r="DO180" s="80"/>
      <c r="DP180" s="80"/>
      <c r="DQ180" s="80"/>
      <c r="DR180" s="80"/>
      <c r="DS180" s="80"/>
      <c r="DT180" s="80"/>
      <c r="DU180" s="80"/>
      <c r="DV180" s="80"/>
      <c r="DW180" s="80"/>
      <c r="DX180" s="80"/>
      <c r="DY180" s="80"/>
      <c r="DZ180" s="80"/>
      <c r="EA180" s="80"/>
      <c r="EB180" s="80"/>
      <c r="EC180" s="80"/>
      <c r="ED180" s="80"/>
      <c r="EE180" s="80"/>
      <c r="EF180" s="80"/>
      <c r="EG180" s="80"/>
      <c r="EH180" s="80"/>
      <c r="EI180" s="80"/>
      <c r="EJ180" s="80"/>
      <c r="EK180" s="80"/>
      <c r="EL180" s="80"/>
      <c r="EM180" s="80"/>
      <c r="EN180" s="80"/>
      <c r="EO180" s="80"/>
      <c r="EP180" s="80"/>
      <c r="EQ180" s="80"/>
      <c r="ER180" s="80"/>
      <c r="ES180" s="80"/>
      <c r="ET180" s="80"/>
      <c r="EU180" s="80"/>
      <c r="EV180" s="80"/>
      <c r="EW180" s="80"/>
      <c r="EX180" s="80"/>
      <c r="EY180" s="80"/>
      <c r="EZ180" s="80"/>
      <c r="FA180" s="80"/>
      <c r="FB180" s="80"/>
      <c r="FC180" s="80"/>
      <c r="FD180" s="80"/>
      <c r="FE180" s="80"/>
      <c r="FF180" s="80"/>
      <c r="FG180" s="80"/>
      <c r="FH180" s="80"/>
      <c r="FI180" s="80"/>
      <c r="FJ180" s="80"/>
      <c r="FK180" s="80"/>
      <c r="FL180" s="80"/>
      <c r="FM180" s="80"/>
      <c r="FN180" s="80"/>
      <c r="FO180" s="80"/>
      <c r="FP180" s="80"/>
      <c r="FQ180" s="80"/>
      <c r="FR180" s="80"/>
      <c r="FS180" s="80"/>
      <c r="FT180" s="80"/>
      <c r="FU180" s="80"/>
      <c r="FV180" s="80"/>
      <c r="FW180" s="80"/>
      <c r="FX180" s="80"/>
      <c r="FY180" s="80"/>
      <c r="FZ180" s="80"/>
      <c r="GA180" s="80"/>
      <c r="GB180" s="80"/>
      <c r="GC180" s="80"/>
      <c r="GD180" s="80"/>
      <c r="GE180" s="80"/>
      <c r="GF180" s="80"/>
      <c r="GG180" s="80"/>
      <c r="GH180" s="80"/>
      <c r="GI180" s="80"/>
      <c r="GJ180" s="80"/>
      <c r="GK180" s="80"/>
      <c r="GL180" s="80"/>
      <c r="GM180" s="80"/>
      <c r="GN180" s="80"/>
      <c r="GO180" s="80"/>
      <c r="GP180" s="80"/>
      <c r="GQ180" s="80"/>
      <c r="GR180" s="80"/>
      <c r="GS180" s="80"/>
      <c r="GT180" s="80"/>
      <c r="GU180" s="80"/>
      <c r="GV180" s="80"/>
      <c r="GW180" s="80"/>
      <c r="GX180" s="80"/>
      <c r="GY180" s="80"/>
      <c r="GZ180" s="80"/>
      <c r="HA180" s="80"/>
      <c r="HB180" s="80"/>
      <c r="HC180" s="80"/>
      <c r="HD180" s="80"/>
      <c r="HE180" s="80"/>
      <c r="HF180" s="80"/>
      <c r="HG180" s="80"/>
      <c r="HH180" s="80"/>
      <c r="HI180" s="80"/>
      <c r="HJ180" s="80"/>
      <c r="HK180" s="80"/>
      <c r="HL180" s="80"/>
      <c r="HM180" s="80"/>
      <c r="HN180" s="80"/>
      <c r="HO180" s="80"/>
      <c r="HP180" s="80"/>
      <c r="HQ180" s="80"/>
      <c r="HR180" s="80"/>
      <c r="HS180" s="80"/>
      <c r="HT180" s="80"/>
      <c r="HU180" s="80"/>
    </row>
    <row r="181" spans="1:229" ht="30" x14ac:dyDescent="0.25">
      <c r="A181" s="197"/>
      <c r="B181" s="203" t="s">
        <v>1392</v>
      </c>
      <c r="C181" s="779"/>
      <c r="D181" s="780"/>
      <c r="E181" s="824"/>
      <c r="F181" s="844"/>
      <c r="G181" s="779"/>
      <c r="H181" s="780"/>
      <c r="I181" s="823">
        <v>0.2</v>
      </c>
      <c r="J181" s="843">
        <f t="shared" si="8"/>
        <v>2467.6232831999996</v>
      </c>
      <c r="K181" s="777">
        <v>0.3</v>
      </c>
      <c r="L181" s="778">
        <f t="shared" si="9"/>
        <v>3701.434924799999</v>
      </c>
      <c r="M181" s="823">
        <v>0.3</v>
      </c>
      <c r="N181" s="843">
        <f t="shared" si="10"/>
        <v>3701.434924799999</v>
      </c>
      <c r="O181" s="777">
        <v>0.2</v>
      </c>
      <c r="P181" s="778">
        <f t="shared" si="12"/>
        <v>2467.6232831999996</v>
      </c>
      <c r="Q181" s="824"/>
      <c r="R181" s="780"/>
      <c r="S181" s="80"/>
      <c r="T181" s="199">
        <f>'ANALÍTICO ELÉTRICO E LÓGICO'!P516</f>
        <v>12338.116415999997</v>
      </c>
      <c r="U181" s="89"/>
      <c r="V181" s="80"/>
      <c r="W181" s="80"/>
      <c r="X181" s="80"/>
      <c r="Y181" s="80"/>
      <c r="Z181" s="80"/>
      <c r="AA181" s="80"/>
      <c r="AB181" s="80"/>
      <c r="AC181" s="80"/>
      <c r="AD181" s="80"/>
      <c r="AE181" s="80"/>
      <c r="AF181" s="80"/>
      <c r="AG181" s="80"/>
      <c r="AH181" s="80"/>
      <c r="AI181" s="80"/>
      <c r="AJ181" s="80"/>
      <c r="AK181" s="80"/>
      <c r="AL181" s="80"/>
      <c r="AM181" s="80"/>
      <c r="AN181" s="80"/>
      <c r="AO181" s="80"/>
      <c r="AP181" s="80"/>
      <c r="AQ181" s="80"/>
      <c r="AR181" s="80"/>
      <c r="AS181" s="80"/>
      <c r="AT181" s="80"/>
      <c r="AU181" s="80"/>
      <c r="AV181" s="80"/>
      <c r="AW181" s="80"/>
      <c r="AX181" s="80"/>
      <c r="AY181" s="80"/>
      <c r="AZ181" s="80"/>
      <c r="BA181" s="80"/>
      <c r="BB181" s="80"/>
      <c r="BC181" s="80"/>
      <c r="BD181" s="80"/>
      <c r="BE181" s="80"/>
      <c r="BF181" s="80"/>
      <c r="BG181" s="80"/>
      <c r="BH181" s="80"/>
      <c r="BI181" s="80"/>
      <c r="BJ181" s="80"/>
      <c r="BK181" s="80"/>
      <c r="BL181" s="80"/>
      <c r="BM181" s="80"/>
      <c r="BN181" s="80"/>
      <c r="BO181" s="80"/>
      <c r="BP181" s="80"/>
      <c r="BQ181" s="80"/>
      <c r="BR181" s="80"/>
      <c r="BS181" s="80"/>
      <c r="BT181" s="80"/>
      <c r="BU181" s="80"/>
      <c r="BV181" s="80"/>
      <c r="BW181" s="80"/>
      <c r="BX181" s="80"/>
      <c r="BY181" s="80"/>
      <c r="BZ181" s="80"/>
      <c r="CA181" s="80"/>
      <c r="CB181" s="80"/>
      <c r="CC181" s="80"/>
      <c r="CD181" s="80"/>
      <c r="CE181" s="80"/>
      <c r="CF181" s="80"/>
      <c r="CG181" s="80"/>
      <c r="CH181" s="80"/>
      <c r="CI181" s="80"/>
      <c r="CJ181" s="80"/>
      <c r="CK181" s="80"/>
      <c r="CL181" s="80"/>
      <c r="CM181" s="80"/>
      <c r="CN181" s="80"/>
      <c r="CO181" s="80"/>
      <c r="CP181" s="80"/>
      <c r="CQ181" s="80"/>
      <c r="CR181" s="80"/>
      <c r="CS181" s="80"/>
      <c r="CT181" s="80"/>
      <c r="CU181" s="80"/>
      <c r="CV181" s="80"/>
      <c r="CW181" s="80"/>
      <c r="CX181" s="80"/>
      <c r="CY181" s="80"/>
      <c r="CZ181" s="80"/>
      <c r="DA181" s="80"/>
      <c r="DB181" s="80"/>
      <c r="DC181" s="80"/>
      <c r="DD181" s="80"/>
      <c r="DE181" s="80"/>
      <c r="DF181" s="80"/>
      <c r="DG181" s="80"/>
      <c r="DH181" s="80"/>
      <c r="DI181" s="80"/>
      <c r="DJ181" s="80"/>
      <c r="DK181" s="80"/>
      <c r="DL181" s="80"/>
      <c r="DM181" s="80"/>
      <c r="DN181" s="80"/>
      <c r="DO181" s="80"/>
      <c r="DP181" s="80"/>
      <c r="DQ181" s="80"/>
      <c r="DR181" s="80"/>
      <c r="DS181" s="80"/>
      <c r="DT181" s="80"/>
      <c r="DU181" s="80"/>
      <c r="DV181" s="80"/>
      <c r="DW181" s="80"/>
      <c r="DX181" s="80"/>
      <c r="DY181" s="80"/>
      <c r="DZ181" s="80"/>
      <c r="EA181" s="80"/>
      <c r="EB181" s="80"/>
      <c r="EC181" s="80"/>
      <c r="ED181" s="80"/>
      <c r="EE181" s="80"/>
      <c r="EF181" s="80"/>
      <c r="EG181" s="80"/>
      <c r="EH181" s="80"/>
      <c r="EI181" s="80"/>
      <c r="EJ181" s="80"/>
      <c r="EK181" s="80"/>
      <c r="EL181" s="80"/>
      <c r="EM181" s="80"/>
      <c r="EN181" s="80"/>
      <c r="EO181" s="80"/>
      <c r="EP181" s="80"/>
      <c r="EQ181" s="80"/>
      <c r="ER181" s="80"/>
      <c r="ES181" s="80"/>
      <c r="ET181" s="80"/>
      <c r="EU181" s="80"/>
      <c r="EV181" s="80"/>
      <c r="EW181" s="80"/>
      <c r="EX181" s="80"/>
      <c r="EY181" s="80"/>
      <c r="EZ181" s="80"/>
      <c r="FA181" s="80"/>
      <c r="FB181" s="80"/>
      <c r="FC181" s="80"/>
      <c r="FD181" s="80"/>
      <c r="FE181" s="80"/>
      <c r="FF181" s="80"/>
      <c r="FG181" s="80"/>
      <c r="FH181" s="80"/>
      <c r="FI181" s="80"/>
      <c r="FJ181" s="80"/>
      <c r="FK181" s="80"/>
      <c r="FL181" s="80"/>
      <c r="FM181" s="80"/>
      <c r="FN181" s="80"/>
      <c r="FO181" s="80"/>
      <c r="FP181" s="80"/>
      <c r="FQ181" s="80"/>
      <c r="FR181" s="80"/>
      <c r="FS181" s="80"/>
      <c r="FT181" s="80"/>
      <c r="FU181" s="80"/>
      <c r="FV181" s="80"/>
      <c r="FW181" s="80"/>
      <c r="FX181" s="80"/>
      <c r="FY181" s="80"/>
      <c r="FZ181" s="80"/>
      <c r="GA181" s="80"/>
      <c r="GB181" s="80"/>
      <c r="GC181" s="80"/>
      <c r="GD181" s="80"/>
      <c r="GE181" s="80"/>
      <c r="GF181" s="80"/>
      <c r="GG181" s="80"/>
      <c r="GH181" s="80"/>
      <c r="GI181" s="80"/>
      <c r="GJ181" s="80"/>
      <c r="GK181" s="80"/>
      <c r="GL181" s="80"/>
      <c r="GM181" s="80"/>
      <c r="GN181" s="80"/>
      <c r="GO181" s="80"/>
      <c r="GP181" s="80"/>
      <c r="GQ181" s="80"/>
      <c r="GR181" s="80"/>
      <c r="GS181" s="80"/>
      <c r="GT181" s="80"/>
      <c r="GU181" s="80"/>
      <c r="GV181" s="80"/>
      <c r="GW181" s="80"/>
      <c r="GX181" s="80"/>
      <c r="GY181" s="80"/>
      <c r="GZ181" s="80"/>
      <c r="HA181" s="80"/>
      <c r="HB181" s="80"/>
      <c r="HC181" s="80"/>
      <c r="HD181" s="80"/>
      <c r="HE181" s="80"/>
      <c r="HF181" s="80"/>
      <c r="HG181" s="80"/>
      <c r="HH181" s="80"/>
      <c r="HI181" s="80"/>
      <c r="HJ181" s="80"/>
      <c r="HK181" s="80"/>
      <c r="HL181" s="80"/>
      <c r="HM181" s="80"/>
      <c r="HN181" s="80"/>
      <c r="HO181" s="80"/>
      <c r="HP181" s="80"/>
      <c r="HQ181" s="80"/>
      <c r="HR181" s="80"/>
      <c r="HS181" s="80"/>
      <c r="HT181" s="80"/>
      <c r="HU181" s="80"/>
    </row>
    <row r="182" spans="1:229" ht="30" x14ac:dyDescent="0.25">
      <c r="A182" s="197"/>
      <c r="B182" s="203" t="s">
        <v>1449</v>
      </c>
      <c r="C182" s="779"/>
      <c r="D182" s="780"/>
      <c r="E182" s="824"/>
      <c r="F182" s="844"/>
      <c r="G182" s="779"/>
      <c r="H182" s="780"/>
      <c r="I182" s="824"/>
      <c r="J182" s="844"/>
      <c r="K182" s="779"/>
      <c r="L182" s="780"/>
      <c r="M182" s="823">
        <v>0.4</v>
      </c>
      <c r="N182" s="843">
        <f t="shared" si="10"/>
        <v>6928.7944896000008</v>
      </c>
      <c r="O182" s="777">
        <v>0.4</v>
      </c>
      <c r="P182" s="778">
        <f t="shared" si="12"/>
        <v>6928.7944896000008</v>
      </c>
      <c r="Q182" s="823">
        <v>0.2</v>
      </c>
      <c r="R182" s="778">
        <f>Q182*$T182</f>
        <v>3464.3972448000004</v>
      </c>
      <c r="S182" s="80"/>
      <c r="T182" s="199">
        <f>'ANALÍTICO ELÉTRICO E LÓGICO'!P596</f>
        <v>17321.986224</v>
      </c>
      <c r="U182" s="89"/>
      <c r="V182" s="80"/>
      <c r="W182" s="80"/>
      <c r="X182" s="80"/>
      <c r="Y182" s="80"/>
      <c r="Z182" s="80"/>
      <c r="AA182" s="80"/>
      <c r="AB182" s="80"/>
      <c r="AC182" s="80"/>
      <c r="AD182" s="80"/>
      <c r="AE182" s="80"/>
      <c r="AF182" s="80"/>
      <c r="AG182" s="80"/>
      <c r="AH182" s="80"/>
      <c r="AI182" s="80"/>
      <c r="AJ182" s="80"/>
      <c r="AK182" s="80"/>
      <c r="AL182" s="80"/>
      <c r="AM182" s="80"/>
      <c r="AN182" s="80"/>
      <c r="AO182" s="80"/>
      <c r="AP182" s="80"/>
      <c r="AQ182" s="80"/>
      <c r="AR182" s="80"/>
      <c r="AS182" s="80"/>
      <c r="AT182" s="80"/>
      <c r="AU182" s="80"/>
      <c r="AV182" s="80"/>
      <c r="AW182" s="80"/>
      <c r="AX182" s="80"/>
      <c r="AY182" s="80"/>
      <c r="AZ182" s="80"/>
      <c r="BA182" s="80"/>
      <c r="BB182" s="80"/>
      <c r="BC182" s="80"/>
      <c r="BD182" s="80"/>
      <c r="BE182" s="80"/>
      <c r="BF182" s="80"/>
      <c r="BG182" s="80"/>
      <c r="BH182" s="80"/>
      <c r="BI182" s="80"/>
      <c r="BJ182" s="80"/>
      <c r="BK182" s="80"/>
      <c r="BL182" s="80"/>
      <c r="BM182" s="80"/>
      <c r="BN182" s="80"/>
      <c r="BO182" s="80"/>
      <c r="BP182" s="80"/>
      <c r="BQ182" s="80"/>
      <c r="BR182" s="80"/>
      <c r="BS182" s="80"/>
      <c r="BT182" s="80"/>
      <c r="BU182" s="80"/>
      <c r="BV182" s="80"/>
      <c r="BW182" s="80"/>
      <c r="BX182" s="80"/>
      <c r="BY182" s="80"/>
      <c r="BZ182" s="80"/>
      <c r="CA182" s="80"/>
      <c r="CB182" s="80"/>
      <c r="CC182" s="80"/>
      <c r="CD182" s="80"/>
      <c r="CE182" s="80"/>
      <c r="CF182" s="80"/>
      <c r="CG182" s="80"/>
      <c r="CH182" s="80"/>
      <c r="CI182" s="80"/>
      <c r="CJ182" s="80"/>
      <c r="CK182" s="80"/>
      <c r="CL182" s="80"/>
      <c r="CM182" s="80"/>
      <c r="CN182" s="80"/>
      <c r="CO182" s="80"/>
      <c r="CP182" s="80"/>
      <c r="CQ182" s="80"/>
      <c r="CR182" s="80"/>
      <c r="CS182" s="80"/>
      <c r="CT182" s="80"/>
      <c r="CU182" s="80"/>
      <c r="CV182" s="80"/>
      <c r="CW182" s="80"/>
      <c r="CX182" s="80"/>
      <c r="CY182" s="80"/>
      <c r="CZ182" s="80"/>
      <c r="DA182" s="80"/>
      <c r="DB182" s="80"/>
      <c r="DC182" s="80"/>
      <c r="DD182" s="80"/>
      <c r="DE182" s="80"/>
      <c r="DF182" s="80"/>
      <c r="DG182" s="80"/>
      <c r="DH182" s="80"/>
      <c r="DI182" s="80"/>
      <c r="DJ182" s="80"/>
      <c r="DK182" s="80"/>
      <c r="DL182" s="80"/>
      <c r="DM182" s="80"/>
      <c r="DN182" s="80"/>
      <c r="DO182" s="80"/>
      <c r="DP182" s="80"/>
      <c r="DQ182" s="80"/>
      <c r="DR182" s="80"/>
      <c r="DS182" s="80"/>
      <c r="DT182" s="80"/>
      <c r="DU182" s="80"/>
      <c r="DV182" s="80"/>
      <c r="DW182" s="80"/>
      <c r="DX182" s="80"/>
      <c r="DY182" s="80"/>
      <c r="DZ182" s="80"/>
      <c r="EA182" s="80"/>
      <c r="EB182" s="80"/>
      <c r="EC182" s="80"/>
      <c r="ED182" s="80"/>
      <c r="EE182" s="80"/>
      <c r="EF182" s="80"/>
      <c r="EG182" s="80"/>
      <c r="EH182" s="80"/>
      <c r="EI182" s="80"/>
      <c r="EJ182" s="80"/>
      <c r="EK182" s="80"/>
      <c r="EL182" s="80"/>
      <c r="EM182" s="80"/>
      <c r="EN182" s="80"/>
      <c r="EO182" s="80"/>
      <c r="EP182" s="80"/>
      <c r="EQ182" s="80"/>
      <c r="ER182" s="80"/>
      <c r="ES182" s="80"/>
      <c r="ET182" s="80"/>
      <c r="EU182" s="80"/>
      <c r="EV182" s="80"/>
      <c r="EW182" s="80"/>
      <c r="EX182" s="80"/>
      <c r="EY182" s="80"/>
      <c r="EZ182" s="80"/>
      <c r="FA182" s="80"/>
      <c r="FB182" s="80"/>
      <c r="FC182" s="80"/>
      <c r="FD182" s="80"/>
      <c r="FE182" s="80"/>
      <c r="FF182" s="80"/>
      <c r="FG182" s="80"/>
      <c r="FH182" s="80"/>
      <c r="FI182" s="80"/>
      <c r="FJ182" s="80"/>
      <c r="FK182" s="80"/>
      <c r="FL182" s="80"/>
      <c r="FM182" s="80"/>
      <c r="FN182" s="80"/>
      <c r="FO182" s="80"/>
      <c r="FP182" s="80"/>
      <c r="FQ182" s="80"/>
      <c r="FR182" s="80"/>
      <c r="FS182" s="80"/>
      <c r="FT182" s="80"/>
      <c r="FU182" s="80"/>
      <c r="FV182" s="80"/>
      <c r="FW182" s="80"/>
      <c r="FX182" s="80"/>
      <c r="FY182" s="80"/>
      <c r="FZ182" s="80"/>
      <c r="GA182" s="80"/>
      <c r="GB182" s="80"/>
      <c r="GC182" s="80"/>
      <c r="GD182" s="80"/>
      <c r="GE182" s="80"/>
      <c r="GF182" s="80"/>
      <c r="GG182" s="80"/>
      <c r="GH182" s="80"/>
      <c r="GI182" s="80"/>
      <c r="GJ182" s="80"/>
      <c r="GK182" s="80"/>
      <c r="GL182" s="80"/>
      <c r="GM182" s="80"/>
      <c r="GN182" s="80"/>
      <c r="GO182" s="80"/>
      <c r="GP182" s="80"/>
      <c r="GQ182" s="80"/>
      <c r="GR182" s="80"/>
      <c r="GS182" s="80"/>
      <c r="GT182" s="80"/>
      <c r="GU182" s="80"/>
      <c r="GV182" s="80"/>
      <c r="GW182" s="80"/>
      <c r="GX182" s="80"/>
      <c r="GY182" s="80"/>
      <c r="GZ182" s="80"/>
      <c r="HA182" s="80"/>
      <c r="HB182" s="80"/>
      <c r="HC182" s="80"/>
      <c r="HD182" s="80"/>
      <c r="HE182" s="80"/>
      <c r="HF182" s="80"/>
      <c r="HG182" s="80"/>
      <c r="HH182" s="80"/>
      <c r="HI182" s="80"/>
      <c r="HJ182" s="80"/>
      <c r="HK182" s="80"/>
      <c r="HL182" s="80"/>
      <c r="HM182" s="80"/>
      <c r="HN182" s="80"/>
      <c r="HO182" s="80"/>
      <c r="HP182" s="80"/>
      <c r="HQ182" s="80"/>
      <c r="HR182" s="80"/>
      <c r="HS182" s="80"/>
      <c r="HT182" s="80"/>
      <c r="HU182" s="80"/>
    </row>
    <row r="183" spans="1:229" ht="30" x14ac:dyDescent="0.25">
      <c r="A183" s="197"/>
      <c r="B183" s="203" t="s">
        <v>1478</v>
      </c>
      <c r="C183" s="779"/>
      <c r="D183" s="780"/>
      <c r="E183" s="824"/>
      <c r="F183" s="844"/>
      <c r="G183" s="779"/>
      <c r="H183" s="780"/>
      <c r="I183" s="824"/>
      <c r="J183" s="844"/>
      <c r="K183" s="779"/>
      <c r="L183" s="780"/>
      <c r="M183" s="823">
        <v>0.4</v>
      </c>
      <c r="N183" s="843">
        <f t="shared" si="10"/>
        <v>28748.413123199996</v>
      </c>
      <c r="O183" s="777">
        <v>0.4</v>
      </c>
      <c r="P183" s="778">
        <f t="shared" si="12"/>
        <v>28748.413123199996</v>
      </c>
      <c r="Q183" s="823">
        <v>0.2</v>
      </c>
      <c r="R183" s="778">
        <f>Q183*$T183</f>
        <v>14374.206561599998</v>
      </c>
      <c r="S183" s="80"/>
      <c r="T183" s="199">
        <f>'ANALÍTICO ELÉTRICO E LÓGICO'!P629</f>
        <v>71871.032807999989</v>
      </c>
      <c r="U183" s="89"/>
      <c r="V183" s="80"/>
      <c r="W183" s="80"/>
      <c r="X183" s="80"/>
      <c r="Y183" s="80"/>
      <c r="Z183" s="80"/>
      <c r="AA183" s="80"/>
      <c r="AB183" s="80"/>
      <c r="AC183" s="80"/>
      <c r="AD183" s="80"/>
      <c r="AE183" s="80"/>
      <c r="AF183" s="80"/>
      <c r="AG183" s="80"/>
      <c r="AH183" s="80"/>
      <c r="AI183" s="80"/>
      <c r="AJ183" s="80"/>
      <c r="AK183" s="80"/>
      <c r="AL183" s="80"/>
      <c r="AM183" s="80"/>
      <c r="AN183" s="80"/>
      <c r="AO183" s="80"/>
      <c r="AP183" s="80"/>
      <c r="AQ183" s="80"/>
      <c r="AR183" s="80"/>
      <c r="AS183" s="80"/>
      <c r="AT183" s="80"/>
      <c r="AU183" s="80"/>
      <c r="AV183" s="80"/>
      <c r="AW183" s="80"/>
      <c r="AX183" s="80"/>
      <c r="AY183" s="80"/>
      <c r="AZ183" s="80"/>
      <c r="BA183" s="80"/>
      <c r="BB183" s="80"/>
      <c r="BC183" s="80"/>
      <c r="BD183" s="80"/>
      <c r="BE183" s="80"/>
      <c r="BF183" s="80"/>
      <c r="BG183" s="80"/>
      <c r="BH183" s="80"/>
      <c r="BI183" s="80"/>
      <c r="BJ183" s="80"/>
      <c r="BK183" s="80"/>
      <c r="BL183" s="80"/>
      <c r="BM183" s="80"/>
      <c r="BN183" s="80"/>
      <c r="BO183" s="80"/>
      <c r="BP183" s="80"/>
      <c r="BQ183" s="80"/>
      <c r="BR183" s="80"/>
      <c r="BS183" s="80"/>
      <c r="BT183" s="80"/>
      <c r="BU183" s="80"/>
      <c r="BV183" s="80"/>
      <c r="BW183" s="80"/>
      <c r="BX183" s="80"/>
      <c r="BY183" s="80"/>
      <c r="BZ183" s="80"/>
      <c r="CA183" s="80"/>
      <c r="CB183" s="80"/>
      <c r="CC183" s="80"/>
      <c r="CD183" s="80"/>
      <c r="CE183" s="80"/>
      <c r="CF183" s="80"/>
      <c r="CG183" s="80"/>
      <c r="CH183" s="80"/>
      <c r="CI183" s="80"/>
      <c r="CJ183" s="80"/>
      <c r="CK183" s="80"/>
      <c r="CL183" s="80"/>
      <c r="CM183" s="80"/>
      <c r="CN183" s="80"/>
      <c r="CO183" s="80"/>
      <c r="CP183" s="80"/>
      <c r="CQ183" s="80"/>
      <c r="CR183" s="80"/>
      <c r="CS183" s="80"/>
      <c r="CT183" s="80"/>
      <c r="CU183" s="80"/>
      <c r="CV183" s="80"/>
      <c r="CW183" s="80"/>
      <c r="CX183" s="80"/>
      <c r="CY183" s="80"/>
      <c r="CZ183" s="80"/>
      <c r="DA183" s="80"/>
      <c r="DB183" s="80"/>
      <c r="DC183" s="80"/>
      <c r="DD183" s="80"/>
      <c r="DE183" s="80"/>
      <c r="DF183" s="80"/>
      <c r="DG183" s="80"/>
      <c r="DH183" s="80"/>
      <c r="DI183" s="80"/>
      <c r="DJ183" s="80"/>
      <c r="DK183" s="80"/>
      <c r="DL183" s="80"/>
      <c r="DM183" s="80"/>
      <c r="DN183" s="80"/>
      <c r="DO183" s="80"/>
      <c r="DP183" s="80"/>
      <c r="DQ183" s="80"/>
      <c r="DR183" s="80"/>
      <c r="DS183" s="80"/>
      <c r="DT183" s="80"/>
      <c r="DU183" s="80"/>
      <c r="DV183" s="80"/>
      <c r="DW183" s="80"/>
      <c r="DX183" s="80"/>
      <c r="DY183" s="80"/>
      <c r="DZ183" s="80"/>
      <c r="EA183" s="80"/>
      <c r="EB183" s="80"/>
      <c r="EC183" s="80"/>
      <c r="ED183" s="80"/>
      <c r="EE183" s="80"/>
      <c r="EF183" s="80"/>
      <c r="EG183" s="80"/>
      <c r="EH183" s="80"/>
      <c r="EI183" s="80"/>
      <c r="EJ183" s="80"/>
      <c r="EK183" s="80"/>
      <c r="EL183" s="80"/>
      <c r="EM183" s="80"/>
      <c r="EN183" s="80"/>
      <c r="EO183" s="80"/>
      <c r="EP183" s="80"/>
      <c r="EQ183" s="80"/>
      <c r="ER183" s="80"/>
      <c r="ES183" s="80"/>
      <c r="ET183" s="80"/>
      <c r="EU183" s="80"/>
      <c r="EV183" s="80"/>
      <c r="EW183" s="80"/>
      <c r="EX183" s="80"/>
      <c r="EY183" s="80"/>
      <c r="EZ183" s="80"/>
      <c r="FA183" s="80"/>
      <c r="FB183" s="80"/>
      <c r="FC183" s="80"/>
      <c r="FD183" s="80"/>
      <c r="FE183" s="80"/>
      <c r="FF183" s="80"/>
      <c r="FG183" s="80"/>
      <c r="FH183" s="80"/>
      <c r="FI183" s="80"/>
      <c r="FJ183" s="80"/>
      <c r="FK183" s="80"/>
      <c r="FL183" s="80"/>
      <c r="FM183" s="80"/>
      <c r="FN183" s="80"/>
      <c r="FO183" s="80"/>
      <c r="FP183" s="80"/>
      <c r="FQ183" s="80"/>
      <c r="FR183" s="80"/>
      <c r="FS183" s="80"/>
      <c r="FT183" s="80"/>
      <c r="FU183" s="80"/>
      <c r="FV183" s="80"/>
      <c r="FW183" s="80"/>
      <c r="FX183" s="80"/>
      <c r="FY183" s="80"/>
      <c r="FZ183" s="80"/>
      <c r="GA183" s="80"/>
      <c r="GB183" s="80"/>
      <c r="GC183" s="80"/>
      <c r="GD183" s="80"/>
      <c r="GE183" s="80"/>
      <c r="GF183" s="80"/>
      <c r="GG183" s="80"/>
      <c r="GH183" s="80"/>
      <c r="GI183" s="80"/>
      <c r="GJ183" s="80"/>
      <c r="GK183" s="80"/>
      <c r="GL183" s="80"/>
      <c r="GM183" s="80"/>
      <c r="GN183" s="80"/>
      <c r="GO183" s="80"/>
      <c r="GP183" s="80"/>
      <c r="GQ183" s="80"/>
      <c r="GR183" s="80"/>
      <c r="GS183" s="80"/>
      <c r="GT183" s="80"/>
      <c r="GU183" s="80"/>
      <c r="GV183" s="80"/>
      <c r="GW183" s="80"/>
      <c r="GX183" s="80"/>
      <c r="GY183" s="80"/>
      <c r="GZ183" s="80"/>
      <c r="HA183" s="80"/>
      <c r="HB183" s="80"/>
      <c r="HC183" s="80"/>
      <c r="HD183" s="80"/>
      <c r="HE183" s="80"/>
      <c r="HF183" s="80"/>
      <c r="HG183" s="80"/>
      <c r="HH183" s="80"/>
      <c r="HI183" s="80"/>
      <c r="HJ183" s="80"/>
      <c r="HK183" s="80"/>
      <c r="HL183" s="80"/>
      <c r="HM183" s="80"/>
      <c r="HN183" s="80"/>
      <c r="HO183" s="80"/>
      <c r="HP183" s="80"/>
      <c r="HQ183" s="80"/>
      <c r="HR183" s="80"/>
      <c r="HS183" s="80"/>
      <c r="HT183" s="80"/>
      <c r="HU183" s="80"/>
    </row>
    <row r="184" spans="1:229" x14ac:dyDescent="0.25">
      <c r="A184" s="197"/>
      <c r="B184" s="203" t="s">
        <v>165</v>
      </c>
      <c r="C184" s="779"/>
      <c r="D184" s="780"/>
      <c r="E184" s="824"/>
      <c r="F184" s="844"/>
      <c r="G184" s="779"/>
      <c r="H184" s="780"/>
      <c r="I184" s="823">
        <v>0.3</v>
      </c>
      <c r="J184" s="843">
        <f>I184*$T184</f>
        <v>7337.4048503999984</v>
      </c>
      <c r="K184" s="777">
        <v>0.3</v>
      </c>
      <c r="L184" s="778">
        <f>K184*$T184</f>
        <v>7337.4048503999984</v>
      </c>
      <c r="M184" s="823">
        <v>0.2</v>
      </c>
      <c r="N184" s="843">
        <f t="shared" si="10"/>
        <v>4891.6032335999989</v>
      </c>
      <c r="O184" s="777">
        <v>0.2</v>
      </c>
      <c r="P184" s="778">
        <f t="shared" si="12"/>
        <v>4891.6032335999989</v>
      </c>
      <c r="Q184" s="824"/>
      <c r="R184" s="780"/>
      <c r="S184" s="80"/>
      <c r="T184" s="199">
        <f>'ANALÍTICO ELÉTRICO E LÓGICO'!P721</f>
        <v>24458.016167999995</v>
      </c>
      <c r="U184" s="89"/>
      <c r="V184" s="80"/>
      <c r="W184" s="80"/>
      <c r="X184" s="80"/>
      <c r="Y184" s="80"/>
      <c r="Z184" s="80"/>
      <c r="AA184" s="80"/>
      <c r="AB184" s="80"/>
      <c r="AC184" s="80"/>
      <c r="AD184" s="80"/>
      <c r="AE184" s="80"/>
      <c r="AF184" s="80"/>
      <c r="AG184" s="80"/>
      <c r="AH184" s="80"/>
      <c r="AI184" s="80"/>
      <c r="AJ184" s="80"/>
      <c r="AK184" s="80"/>
      <c r="AL184" s="80"/>
      <c r="AM184" s="80"/>
      <c r="AN184" s="80"/>
      <c r="AO184" s="80"/>
      <c r="AP184" s="80"/>
      <c r="AQ184" s="80"/>
      <c r="AR184" s="80"/>
      <c r="AS184" s="80"/>
      <c r="AT184" s="80"/>
      <c r="AU184" s="80"/>
      <c r="AV184" s="80"/>
      <c r="AW184" s="80"/>
      <c r="AX184" s="80"/>
      <c r="AY184" s="80"/>
      <c r="AZ184" s="80"/>
      <c r="BA184" s="80"/>
      <c r="BB184" s="80"/>
      <c r="BC184" s="80"/>
      <c r="BD184" s="80"/>
      <c r="BE184" s="80"/>
      <c r="BF184" s="80"/>
      <c r="BG184" s="80"/>
      <c r="BH184" s="80"/>
      <c r="BI184" s="80"/>
      <c r="BJ184" s="80"/>
      <c r="BK184" s="80"/>
      <c r="BL184" s="80"/>
      <c r="BM184" s="80"/>
      <c r="BN184" s="80"/>
      <c r="BO184" s="80"/>
      <c r="BP184" s="80"/>
      <c r="BQ184" s="80"/>
      <c r="BR184" s="80"/>
      <c r="BS184" s="80"/>
      <c r="BT184" s="80"/>
      <c r="BU184" s="80"/>
      <c r="BV184" s="80"/>
      <c r="BW184" s="80"/>
      <c r="BX184" s="80"/>
      <c r="BY184" s="80"/>
      <c r="BZ184" s="80"/>
      <c r="CA184" s="80"/>
      <c r="CB184" s="80"/>
      <c r="CC184" s="80"/>
      <c r="CD184" s="80"/>
      <c r="CE184" s="80"/>
      <c r="CF184" s="80"/>
      <c r="CG184" s="80"/>
      <c r="CH184" s="80"/>
      <c r="CI184" s="80"/>
      <c r="CJ184" s="80"/>
      <c r="CK184" s="80"/>
      <c r="CL184" s="80"/>
      <c r="CM184" s="80"/>
      <c r="CN184" s="80"/>
      <c r="CO184" s="80"/>
      <c r="CP184" s="80"/>
      <c r="CQ184" s="80"/>
      <c r="CR184" s="80"/>
      <c r="CS184" s="80"/>
      <c r="CT184" s="80"/>
      <c r="CU184" s="80"/>
      <c r="CV184" s="80"/>
      <c r="CW184" s="80"/>
      <c r="CX184" s="80"/>
      <c r="CY184" s="80"/>
      <c r="CZ184" s="80"/>
      <c r="DA184" s="80"/>
      <c r="DB184" s="80"/>
      <c r="DC184" s="80"/>
      <c r="DD184" s="80"/>
      <c r="DE184" s="80"/>
      <c r="DF184" s="80"/>
      <c r="DG184" s="80"/>
      <c r="DH184" s="80"/>
      <c r="DI184" s="80"/>
      <c r="DJ184" s="80"/>
      <c r="DK184" s="80"/>
      <c r="DL184" s="80"/>
      <c r="DM184" s="80"/>
      <c r="DN184" s="80"/>
      <c r="DO184" s="80"/>
      <c r="DP184" s="80"/>
      <c r="DQ184" s="80"/>
      <c r="DR184" s="80"/>
      <c r="DS184" s="80"/>
      <c r="DT184" s="80"/>
      <c r="DU184" s="80"/>
      <c r="DV184" s="80"/>
      <c r="DW184" s="80"/>
      <c r="DX184" s="80"/>
      <c r="DY184" s="80"/>
      <c r="DZ184" s="80"/>
      <c r="EA184" s="80"/>
      <c r="EB184" s="80"/>
      <c r="EC184" s="80"/>
      <c r="ED184" s="80"/>
      <c r="EE184" s="80"/>
      <c r="EF184" s="80"/>
      <c r="EG184" s="80"/>
      <c r="EH184" s="80"/>
      <c r="EI184" s="80"/>
      <c r="EJ184" s="80"/>
      <c r="EK184" s="80"/>
      <c r="EL184" s="80"/>
      <c r="EM184" s="80"/>
      <c r="EN184" s="80"/>
      <c r="EO184" s="80"/>
      <c r="EP184" s="80"/>
      <c r="EQ184" s="80"/>
      <c r="ER184" s="80"/>
      <c r="ES184" s="80"/>
      <c r="ET184" s="80"/>
      <c r="EU184" s="80"/>
      <c r="EV184" s="80"/>
      <c r="EW184" s="80"/>
      <c r="EX184" s="80"/>
      <c r="EY184" s="80"/>
      <c r="EZ184" s="80"/>
      <c r="FA184" s="80"/>
      <c r="FB184" s="80"/>
      <c r="FC184" s="80"/>
      <c r="FD184" s="80"/>
      <c r="FE184" s="80"/>
      <c r="FF184" s="80"/>
      <c r="FG184" s="80"/>
      <c r="FH184" s="80"/>
      <c r="FI184" s="80"/>
      <c r="FJ184" s="80"/>
      <c r="FK184" s="80"/>
      <c r="FL184" s="80"/>
      <c r="FM184" s="80"/>
      <c r="FN184" s="80"/>
      <c r="FO184" s="80"/>
      <c r="FP184" s="80"/>
      <c r="FQ184" s="80"/>
      <c r="FR184" s="80"/>
      <c r="FS184" s="80"/>
      <c r="FT184" s="80"/>
      <c r="FU184" s="80"/>
      <c r="FV184" s="80"/>
      <c r="FW184" s="80"/>
      <c r="FX184" s="80"/>
      <c r="FY184" s="80"/>
      <c r="FZ184" s="80"/>
      <c r="GA184" s="80"/>
      <c r="GB184" s="80"/>
      <c r="GC184" s="80"/>
      <c r="GD184" s="80"/>
      <c r="GE184" s="80"/>
      <c r="GF184" s="80"/>
      <c r="GG184" s="80"/>
      <c r="GH184" s="80"/>
      <c r="GI184" s="80"/>
      <c r="GJ184" s="80"/>
      <c r="GK184" s="80"/>
      <c r="GL184" s="80"/>
      <c r="GM184" s="80"/>
      <c r="GN184" s="80"/>
      <c r="GO184" s="80"/>
      <c r="GP184" s="80"/>
      <c r="GQ184" s="80"/>
      <c r="GR184" s="80"/>
      <c r="GS184" s="80"/>
      <c r="GT184" s="80"/>
      <c r="GU184" s="80"/>
      <c r="GV184" s="80"/>
      <c r="GW184" s="80"/>
      <c r="GX184" s="80"/>
      <c r="GY184" s="80"/>
      <c r="GZ184" s="80"/>
      <c r="HA184" s="80"/>
      <c r="HB184" s="80"/>
      <c r="HC184" s="80"/>
      <c r="HD184" s="80"/>
      <c r="HE184" s="80"/>
      <c r="HF184" s="80"/>
      <c r="HG184" s="80"/>
      <c r="HH184" s="80"/>
      <c r="HI184" s="80"/>
      <c r="HJ184" s="80"/>
      <c r="HK184" s="80"/>
      <c r="HL184" s="80"/>
      <c r="HM184" s="80"/>
      <c r="HN184" s="80"/>
      <c r="HO184" s="80"/>
      <c r="HP184" s="80"/>
      <c r="HQ184" s="80"/>
      <c r="HR184" s="80"/>
      <c r="HS184" s="80"/>
      <c r="HT184" s="80"/>
      <c r="HU184" s="80"/>
    </row>
    <row r="185" spans="1:229" x14ac:dyDescent="0.25">
      <c r="A185" s="82"/>
      <c r="B185" s="799"/>
      <c r="C185" s="781"/>
      <c r="D185" s="782"/>
      <c r="E185" s="825"/>
      <c r="F185" s="845"/>
      <c r="G185" s="781"/>
      <c r="H185" s="782"/>
      <c r="I185" s="825"/>
      <c r="J185" s="845"/>
      <c r="K185" s="781"/>
      <c r="L185" s="782"/>
      <c r="M185" s="825"/>
      <c r="N185" s="845"/>
      <c r="O185" s="781"/>
      <c r="P185" s="782"/>
      <c r="Q185" s="825"/>
      <c r="R185" s="782"/>
      <c r="T185" s="78"/>
      <c r="U185" s="89"/>
    </row>
    <row r="186" spans="1:229" ht="33.75" customHeight="1" x14ac:dyDescent="0.25">
      <c r="A186" s="493">
        <v>20</v>
      </c>
      <c r="B186" s="494" t="s">
        <v>1823</v>
      </c>
      <c r="C186" s="832"/>
      <c r="D186" s="521"/>
      <c r="E186" s="776"/>
      <c r="F186" s="495"/>
      <c r="G186" s="832"/>
      <c r="H186" s="521"/>
      <c r="I186" s="776"/>
      <c r="J186" s="495"/>
      <c r="K186" s="832"/>
      <c r="L186" s="521"/>
      <c r="M186" s="776"/>
      <c r="N186" s="495"/>
      <c r="O186" s="832"/>
      <c r="P186" s="521"/>
      <c r="Q186" s="776"/>
      <c r="R186" s="521"/>
      <c r="T186" s="500">
        <f>SUM(T187:T189)</f>
        <v>10594.562903999999</v>
      </c>
      <c r="U186" s="501"/>
      <c r="W186" s="541"/>
    </row>
    <row r="187" spans="1:229" x14ac:dyDescent="0.25">
      <c r="A187" s="783"/>
      <c r="B187" s="784" t="s">
        <v>1620</v>
      </c>
      <c r="C187" s="833"/>
      <c r="D187" s="787"/>
      <c r="E187" s="823">
        <v>0.2</v>
      </c>
      <c r="F187" s="843">
        <f>E187*$T187</f>
        <v>1541.6890848</v>
      </c>
      <c r="G187" s="777">
        <v>0.2</v>
      </c>
      <c r="H187" s="778">
        <f t="shared" ref="H187" si="13">G187*$T187</f>
        <v>1541.6890848</v>
      </c>
      <c r="I187" s="823">
        <v>0.2</v>
      </c>
      <c r="J187" s="843">
        <f t="shared" ref="J187" si="14">I187*$T187</f>
        <v>1541.6890848</v>
      </c>
      <c r="K187" s="777">
        <v>0.2</v>
      </c>
      <c r="L187" s="778">
        <f t="shared" ref="L187" si="15">K187*$T187</f>
        <v>1541.6890848</v>
      </c>
      <c r="M187" s="823">
        <v>0.1</v>
      </c>
      <c r="N187" s="843">
        <f t="shared" ref="N187:P189" si="16">M187*$T187</f>
        <v>770.84454240000002</v>
      </c>
      <c r="O187" s="777">
        <v>0.1</v>
      </c>
      <c r="P187" s="778">
        <f t="shared" ref="P187" si="17">O187*$T187</f>
        <v>770.84454240000002</v>
      </c>
      <c r="Q187" s="785"/>
      <c r="R187" s="787"/>
      <c r="S187" s="80"/>
      <c r="T187" s="788">
        <f>'ANALÍTICO ELÉTRICO E LÓGICO'!P823</f>
        <v>7708.4454239999995</v>
      </c>
      <c r="U187" s="789"/>
      <c r="V187" s="80"/>
      <c r="W187" s="80"/>
      <c r="X187" s="80"/>
      <c r="Y187" s="80"/>
      <c r="Z187" s="80"/>
      <c r="AA187" s="80"/>
      <c r="AB187" s="80"/>
      <c r="AC187" s="80"/>
      <c r="AD187" s="80"/>
      <c r="AE187" s="80"/>
      <c r="AF187" s="80"/>
      <c r="AG187" s="80"/>
      <c r="AH187" s="80"/>
      <c r="AI187" s="80"/>
      <c r="AJ187" s="80"/>
      <c r="AK187" s="80"/>
      <c r="AL187" s="80"/>
      <c r="AM187" s="80"/>
      <c r="AN187" s="80"/>
      <c r="AO187" s="80"/>
      <c r="AP187" s="80"/>
      <c r="AQ187" s="80"/>
      <c r="AR187" s="80"/>
      <c r="AS187" s="80"/>
      <c r="AT187" s="80"/>
      <c r="AU187" s="80"/>
      <c r="AV187" s="80"/>
      <c r="AW187" s="80"/>
      <c r="AX187" s="80"/>
      <c r="AY187" s="80"/>
      <c r="AZ187" s="80"/>
      <c r="BA187" s="80"/>
      <c r="BB187" s="80"/>
      <c r="BC187" s="80"/>
      <c r="BD187" s="80"/>
      <c r="BE187" s="80"/>
      <c r="BF187" s="80"/>
      <c r="BG187" s="80"/>
      <c r="BH187" s="80"/>
      <c r="BI187" s="80"/>
      <c r="BJ187" s="80"/>
      <c r="BK187" s="80"/>
      <c r="BL187" s="80"/>
      <c r="BM187" s="80"/>
      <c r="BN187" s="80"/>
      <c r="BO187" s="80"/>
      <c r="BP187" s="80"/>
      <c r="BQ187" s="80"/>
      <c r="BR187" s="80"/>
      <c r="BS187" s="80"/>
      <c r="BT187" s="80"/>
      <c r="BU187" s="80"/>
      <c r="BV187" s="80"/>
      <c r="BW187" s="80"/>
      <c r="BX187" s="80"/>
      <c r="BY187" s="80"/>
      <c r="BZ187" s="80"/>
      <c r="CA187" s="80"/>
      <c r="CB187" s="80"/>
      <c r="CC187" s="80"/>
      <c r="CD187" s="80"/>
      <c r="CE187" s="80"/>
      <c r="CF187" s="80"/>
      <c r="CG187" s="80"/>
      <c r="CH187" s="80"/>
      <c r="CI187" s="80"/>
      <c r="CJ187" s="80"/>
      <c r="CK187" s="80"/>
      <c r="CL187" s="80"/>
      <c r="CM187" s="80"/>
      <c r="CN187" s="80"/>
      <c r="CO187" s="80"/>
      <c r="CP187" s="80"/>
      <c r="CQ187" s="80"/>
      <c r="CR187" s="80"/>
      <c r="CS187" s="80"/>
      <c r="CT187" s="80"/>
      <c r="CU187" s="80"/>
      <c r="CV187" s="80"/>
      <c r="CW187" s="80"/>
      <c r="CX187" s="80"/>
      <c r="CY187" s="80"/>
      <c r="CZ187" s="80"/>
      <c r="DA187" s="80"/>
      <c r="DB187" s="80"/>
      <c r="DC187" s="80"/>
      <c r="DD187" s="80"/>
      <c r="DE187" s="80"/>
      <c r="DF187" s="80"/>
      <c r="DG187" s="80"/>
      <c r="DH187" s="80"/>
      <c r="DI187" s="80"/>
      <c r="DJ187" s="80"/>
      <c r="DK187" s="80"/>
      <c r="DL187" s="80"/>
      <c r="DM187" s="80"/>
      <c r="DN187" s="80"/>
      <c r="DO187" s="80"/>
      <c r="DP187" s="80"/>
      <c r="DQ187" s="80"/>
      <c r="DR187" s="80"/>
      <c r="DS187" s="80"/>
      <c r="DT187" s="80"/>
      <c r="DU187" s="80"/>
      <c r="DV187" s="80"/>
      <c r="DW187" s="80"/>
      <c r="DX187" s="80"/>
      <c r="DY187" s="80"/>
      <c r="DZ187" s="80"/>
      <c r="EA187" s="80"/>
      <c r="EB187" s="80"/>
      <c r="EC187" s="80"/>
      <c r="ED187" s="80"/>
      <c r="EE187" s="80"/>
      <c r="EF187" s="80"/>
      <c r="EG187" s="80"/>
      <c r="EH187" s="80"/>
      <c r="EI187" s="80"/>
      <c r="EJ187" s="80"/>
      <c r="EK187" s="80"/>
      <c r="EL187" s="80"/>
      <c r="EM187" s="80"/>
      <c r="EN187" s="80"/>
      <c r="EO187" s="80"/>
      <c r="EP187" s="80"/>
      <c r="EQ187" s="80"/>
      <c r="ER187" s="80"/>
      <c r="ES187" s="80"/>
      <c r="ET187" s="80"/>
      <c r="EU187" s="80"/>
      <c r="EV187" s="80"/>
      <c r="EW187" s="80"/>
      <c r="EX187" s="80"/>
      <c r="EY187" s="80"/>
      <c r="EZ187" s="80"/>
      <c r="FA187" s="80"/>
      <c r="FB187" s="80"/>
      <c r="FC187" s="80"/>
      <c r="FD187" s="80"/>
      <c r="FE187" s="80"/>
      <c r="FF187" s="80"/>
      <c r="FG187" s="80"/>
      <c r="FH187" s="80"/>
      <c r="FI187" s="80"/>
      <c r="FJ187" s="80"/>
      <c r="FK187" s="80"/>
      <c r="FL187" s="80"/>
      <c r="FM187" s="80"/>
      <c r="FN187" s="80"/>
      <c r="FO187" s="80"/>
      <c r="FP187" s="80"/>
      <c r="FQ187" s="80"/>
      <c r="FR187" s="80"/>
      <c r="FS187" s="80"/>
      <c r="FT187" s="80"/>
      <c r="FU187" s="80"/>
      <c r="FV187" s="80"/>
      <c r="FW187" s="80"/>
      <c r="FX187" s="80"/>
      <c r="FY187" s="80"/>
      <c r="FZ187" s="80"/>
      <c r="GA187" s="80"/>
      <c r="GB187" s="80"/>
      <c r="GC187" s="80"/>
      <c r="GD187" s="80"/>
      <c r="GE187" s="80"/>
      <c r="GF187" s="80"/>
      <c r="GG187" s="80"/>
      <c r="GH187" s="80"/>
      <c r="GI187" s="80"/>
      <c r="GJ187" s="80"/>
      <c r="GK187" s="80"/>
      <c r="GL187" s="80"/>
      <c r="GM187" s="80"/>
      <c r="GN187" s="80"/>
      <c r="GO187" s="80"/>
      <c r="GP187" s="80"/>
      <c r="GQ187" s="80"/>
      <c r="GR187" s="80"/>
      <c r="GS187" s="80"/>
      <c r="GT187" s="80"/>
      <c r="GU187" s="80"/>
      <c r="GV187" s="80"/>
      <c r="GW187" s="80"/>
      <c r="GX187" s="80"/>
      <c r="GY187" s="80"/>
      <c r="GZ187" s="80"/>
      <c r="HA187" s="80"/>
      <c r="HB187" s="80"/>
      <c r="HC187" s="80"/>
      <c r="HD187" s="80"/>
      <c r="HE187" s="80"/>
      <c r="HF187" s="80"/>
      <c r="HG187" s="80"/>
      <c r="HH187" s="80"/>
      <c r="HI187" s="80"/>
      <c r="HJ187" s="80"/>
      <c r="HK187" s="80"/>
      <c r="HL187" s="80"/>
      <c r="HM187" s="80"/>
      <c r="HN187" s="80"/>
      <c r="HO187" s="80"/>
      <c r="HP187" s="80"/>
      <c r="HQ187" s="80"/>
      <c r="HR187" s="80"/>
      <c r="HS187" s="80"/>
      <c r="HT187" s="80"/>
      <c r="HU187" s="80"/>
    </row>
    <row r="188" spans="1:229" x14ac:dyDescent="0.25">
      <c r="A188" s="783"/>
      <c r="B188" s="784" t="s">
        <v>1637</v>
      </c>
      <c r="C188" s="833"/>
      <c r="D188" s="787"/>
      <c r="E188" s="785"/>
      <c r="F188" s="786"/>
      <c r="G188" s="833"/>
      <c r="H188" s="787"/>
      <c r="I188" s="785"/>
      <c r="J188" s="786"/>
      <c r="K188" s="833"/>
      <c r="L188" s="787"/>
      <c r="M188" s="823">
        <v>0.5</v>
      </c>
      <c r="N188" s="843">
        <f t="shared" si="16"/>
        <v>1125.5241600000002</v>
      </c>
      <c r="O188" s="777">
        <v>0.5</v>
      </c>
      <c r="P188" s="778">
        <f t="shared" si="16"/>
        <v>1125.5241600000002</v>
      </c>
      <c r="Q188" s="785"/>
      <c r="R188" s="787"/>
      <c r="S188" s="80"/>
      <c r="T188" s="788">
        <f>'ANALÍTICO ELÉTRICO E LÓGICO'!P855</f>
        <v>2251.0483200000003</v>
      </c>
      <c r="U188" s="789"/>
      <c r="V188" s="80"/>
      <c r="W188" s="80"/>
      <c r="X188" s="80"/>
      <c r="Y188" s="80"/>
      <c r="Z188" s="80"/>
      <c r="AA188" s="80"/>
      <c r="AB188" s="80"/>
      <c r="AC188" s="80"/>
      <c r="AD188" s="80"/>
      <c r="AE188" s="80"/>
      <c r="AF188" s="80"/>
      <c r="AG188" s="80"/>
      <c r="AH188" s="80"/>
      <c r="AI188" s="80"/>
      <c r="AJ188" s="80"/>
      <c r="AK188" s="80"/>
      <c r="AL188" s="80"/>
      <c r="AM188" s="80"/>
      <c r="AN188" s="80"/>
      <c r="AO188" s="80"/>
      <c r="AP188" s="80"/>
      <c r="AQ188" s="80"/>
      <c r="AR188" s="80"/>
      <c r="AS188" s="80"/>
      <c r="AT188" s="80"/>
      <c r="AU188" s="80"/>
      <c r="AV188" s="80"/>
      <c r="AW188" s="80"/>
      <c r="AX188" s="80"/>
      <c r="AY188" s="80"/>
      <c r="AZ188" s="80"/>
      <c r="BA188" s="80"/>
      <c r="BB188" s="80"/>
      <c r="BC188" s="80"/>
      <c r="BD188" s="80"/>
      <c r="BE188" s="80"/>
      <c r="BF188" s="80"/>
      <c r="BG188" s="80"/>
      <c r="BH188" s="80"/>
      <c r="BI188" s="80"/>
      <c r="BJ188" s="80"/>
      <c r="BK188" s="80"/>
      <c r="BL188" s="80"/>
      <c r="BM188" s="80"/>
      <c r="BN188" s="80"/>
      <c r="BO188" s="80"/>
      <c r="BP188" s="80"/>
      <c r="BQ188" s="80"/>
      <c r="BR188" s="80"/>
      <c r="BS188" s="80"/>
      <c r="BT188" s="80"/>
      <c r="BU188" s="80"/>
      <c r="BV188" s="80"/>
      <c r="BW188" s="80"/>
      <c r="BX188" s="80"/>
      <c r="BY188" s="80"/>
      <c r="BZ188" s="80"/>
      <c r="CA188" s="80"/>
      <c r="CB188" s="80"/>
      <c r="CC188" s="80"/>
      <c r="CD188" s="80"/>
      <c r="CE188" s="80"/>
      <c r="CF188" s="80"/>
      <c r="CG188" s="80"/>
      <c r="CH188" s="80"/>
      <c r="CI188" s="80"/>
      <c r="CJ188" s="80"/>
      <c r="CK188" s="80"/>
      <c r="CL188" s="80"/>
      <c r="CM188" s="80"/>
      <c r="CN188" s="80"/>
      <c r="CO188" s="80"/>
      <c r="CP188" s="80"/>
      <c r="CQ188" s="80"/>
      <c r="CR188" s="80"/>
      <c r="CS188" s="80"/>
      <c r="CT188" s="80"/>
      <c r="CU188" s="80"/>
      <c r="CV188" s="80"/>
      <c r="CW188" s="80"/>
      <c r="CX188" s="80"/>
      <c r="CY188" s="80"/>
      <c r="CZ188" s="80"/>
      <c r="DA188" s="80"/>
      <c r="DB188" s="80"/>
      <c r="DC188" s="80"/>
      <c r="DD188" s="80"/>
      <c r="DE188" s="80"/>
      <c r="DF188" s="80"/>
      <c r="DG188" s="80"/>
      <c r="DH188" s="80"/>
      <c r="DI188" s="80"/>
      <c r="DJ188" s="80"/>
      <c r="DK188" s="80"/>
      <c r="DL188" s="80"/>
      <c r="DM188" s="80"/>
      <c r="DN188" s="80"/>
      <c r="DO188" s="80"/>
      <c r="DP188" s="80"/>
      <c r="DQ188" s="80"/>
      <c r="DR188" s="80"/>
      <c r="DS188" s="80"/>
      <c r="DT188" s="80"/>
      <c r="DU188" s="80"/>
      <c r="DV188" s="80"/>
      <c r="DW188" s="80"/>
      <c r="DX188" s="80"/>
      <c r="DY188" s="80"/>
      <c r="DZ188" s="80"/>
      <c r="EA188" s="80"/>
      <c r="EB188" s="80"/>
      <c r="EC188" s="80"/>
      <c r="ED188" s="80"/>
      <c r="EE188" s="80"/>
      <c r="EF188" s="80"/>
      <c r="EG188" s="80"/>
      <c r="EH188" s="80"/>
      <c r="EI188" s="80"/>
      <c r="EJ188" s="80"/>
      <c r="EK188" s="80"/>
      <c r="EL188" s="80"/>
      <c r="EM188" s="80"/>
      <c r="EN188" s="80"/>
      <c r="EO188" s="80"/>
      <c r="EP188" s="80"/>
      <c r="EQ188" s="80"/>
      <c r="ER188" s="80"/>
      <c r="ES188" s="80"/>
      <c r="ET188" s="80"/>
      <c r="EU188" s="80"/>
      <c r="EV188" s="80"/>
      <c r="EW188" s="80"/>
      <c r="EX188" s="80"/>
      <c r="EY188" s="80"/>
      <c r="EZ188" s="80"/>
      <c r="FA188" s="80"/>
      <c r="FB188" s="80"/>
      <c r="FC188" s="80"/>
      <c r="FD188" s="80"/>
      <c r="FE188" s="80"/>
      <c r="FF188" s="80"/>
      <c r="FG188" s="80"/>
      <c r="FH188" s="80"/>
      <c r="FI188" s="80"/>
      <c r="FJ188" s="80"/>
      <c r="FK188" s="80"/>
      <c r="FL188" s="80"/>
      <c r="FM188" s="80"/>
      <c r="FN188" s="80"/>
      <c r="FO188" s="80"/>
      <c r="FP188" s="80"/>
      <c r="FQ188" s="80"/>
      <c r="FR188" s="80"/>
      <c r="FS188" s="80"/>
      <c r="FT188" s="80"/>
      <c r="FU188" s="80"/>
      <c r="FV188" s="80"/>
      <c r="FW188" s="80"/>
      <c r="FX188" s="80"/>
      <c r="FY188" s="80"/>
      <c r="FZ188" s="80"/>
      <c r="GA188" s="80"/>
      <c r="GB188" s="80"/>
      <c r="GC188" s="80"/>
      <c r="GD188" s="80"/>
      <c r="GE188" s="80"/>
      <c r="GF188" s="80"/>
      <c r="GG188" s="80"/>
      <c r="GH188" s="80"/>
      <c r="GI188" s="80"/>
      <c r="GJ188" s="80"/>
      <c r="GK188" s="80"/>
      <c r="GL188" s="80"/>
      <c r="GM188" s="80"/>
      <c r="GN188" s="80"/>
      <c r="GO188" s="80"/>
      <c r="GP188" s="80"/>
      <c r="GQ188" s="80"/>
      <c r="GR188" s="80"/>
      <c r="GS188" s="80"/>
      <c r="GT188" s="80"/>
      <c r="GU188" s="80"/>
      <c r="GV188" s="80"/>
      <c r="GW188" s="80"/>
      <c r="GX188" s="80"/>
      <c r="GY188" s="80"/>
      <c r="GZ188" s="80"/>
      <c r="HA188" s="80"/>
      <c r="HB188" s="80"/>
      <c r="HC188" s="80"/>
      <c r="HD188" s="80"/>
      <c r="HE188" s="80"/>
      <c r="HF188" s="80"/>
      <c r="HG188" s="80"/>
      <c r="HH188" s="80"/>
      <c r="HI188" s="80"/>
      <c r="HJ188" s="80"/>
      <c r="HK188" s="80"/>
      <c r="HL188" s="80"/>
      <c r="HM188" s="80"/>
      <c r="HN188" s="80"/>
      <c r="HO188" s="80"/>
      <c r="HP188" s="80"/>
      <c r="HQ188" s="80"/>
      <c r="HR188" s="80"/>
      <c r="HS188" s="80"/>
      <c r="HT188" s="80"/>
      <c r="HU188" s="80"/>
    </row>
    <row r="189" spans="1:229" ht="30" x14ac:dyDescent="0.25">
      <c r="A189" s="783"/>
      <c r="B189" s="784" t="s">
        <v>1652</v>
      </c>
      <c r="C189" s="833"/>
      <c r="D189" s="787"/>
      <c r="E189" s="785"/>
      <c r="F189" s="786"/>
      <c r="G189" s="833"/>
      <c r="H189" s="787"/>
      <c r="I189" s="785"/>
      <c r="J189" s="786"/>
      <c r="K189" s="833"/>
      <c r="L189" s="787"/>
      <c r="M189" s="785"/>
      <c r="N189" s="786"/>
      <c r="O189" s="777">
        <v>1</v>
      </c>
      <c r="P189" s="778">
        <f t="shared" si="16"/>
        <v>635.06916000000001</v>
      </c>
      <c r="Q189" s="785"/>
      <c r="R189" s="787"/>
      <c r="S189" s="80"/>
      <c r="T189" s="788">
        <f>'ANALÍTICO ELÉTRICO E LÓGICO'!P874</f>
        <v>635.06916000000001</v>
      </c>
      <c r="U189" s="789"/>
      <c r="V189" s="80"/>
      <c r="W189" s="80"/>
      <c r="X189" s="80"/>
      <c r="Y189" s="80"/>
      <c r="Z189" s="80"/>
      <c r="AA189" s="80"/>
      <c r="AB189" s="80"/>
      <c r="AC189" s="80"/>
      <c r="AD189" s="80"/>
      <c r="AE189" s="80"/>
      <c r="AF189" s="80"/>
      <c r="AG189" s="80"/>
      <c r="AH189" s="80"/>
      <c r="AI189" s="80"/>
      <c r="AJ189" s="80"/>
      <c r="AK189" s="80"/>
      <c r="AL189" s="80"/>
      <c r="AM189" s="80"/>
      <c r="AN189" s="80"/>
      <c r="AO189" s="80"/>
      <c r="AP189" s="80"/>
      <c r="AQ189" s="80"/>
      <c r="AR189" s="80"/>
      <c r="AS189" s="80"/>
      <c r="AT189" s="80"/>
      <c r="AU189" s="80"/>
      <c r="AV189" s="80"/>
      <c r="AW189" s="80"/>
      <c r="AX189" s="80"/>
      <c r="AY189" s="80"/>
      <c r="AZ189" s="80"/>
      <c r="BA189" s="80"/>
      <c r="BB189" s="80"/>
      <c r="BC189" s="80"/>
      <c r="BD189" s="80"/>
      <c r="BE189" s="80"/>
      <c r="BF189" s="80"/>
      <c r="BG189" s="80"/>
      <c r="BH189" s="80"/>
      <c r="BI189" s="80"/>
      <c r="BJ189" s="80"/>
      <c r="BK189" s="80"/>
      <c r="BL189" s="80"/>
      <c r="BM189" s="80"/>
      <c r="BN189" s="80"/>
      <c r="BO189" s="80"/>
      <c r="BP189" s="80"/>
      <c r="BQ189" s="80"/>
      <c r="BR189" s="80"/>
      <c r="BS189" s="80"/>
      <c r="BT189" s="80"/>
      <c r="BU189" s="80"/>
      <c r="BV189" s="80"/>
      <c r="BW189" s="80"/>
      <c r="BX189" s="80"/>
      <c r="BY189" s="80"/>
      <c r="BZ189" s="80"/>
      <c r="CA189" s="80"/>
      <c r="CB189" s="80"/>
      <c r="CC189" s="80"/>
      <c r="CD189" s="80"/>
      <c r="CE189" s="80"/>
      <c r="CF189" s="80"/>
      <c r="CG189" s="80"/>
      <c r="CH189" s="80"/>
      <c r="CI189" s="80"/>
      <c r="CJ189" s="80"/>
      <c r="CK189" s="80"/>
      <c r="CL189" s="80"/>
      <c r="CM189" s="80"/>
      <c r="CN189" s="80"/>
      <c r="CO189" s="80"/>
      <c r="CP189" s="80"/>
      <c r="CQ189" s="80"/>
      <c r="CR189" s="80"/>
      <c r="CS189" s="80"/>
      <c r="CT189" s="80"/>
      <c r="CU189" s="80"/>
      <c r="CV189" s="80"/>
      <c r="CW189" s="80"/>
      <c r="CX189" s="80"/>
      <c r="CY189" s="80"/>
      <c r="CZ189" s="80"/>
      <c r="DA189" s="80"/>
      <c r="DB189" s="80"/>
      <c r="DC189" s="80"/>
      <c r="DD189" s="80"/>
      <c r="DE189" s="80"/>
      <c r="DF189" s="80"/>
      <c r="DG189" s="80"/>
      <c r="DH189" s="80"/>
      <c r="DI189" s="80"/>
      <c r="DJ189" s="80"/>
      <c r="DK189" s="80"/>
      <c r="DL189" s="80"/>
      <c r="DM189" s="80"/>
      <c r="DN189" s="80"/>
      <c r="DO189" s="80"/>
      <c r="DP189" s="80"/>
      <c r="DQ189" s="80"/>
      <c r="DR189" s="80"/>
      <c r="DS189" s="80"/>
      <c r="DT189" s="80"/>
      <c r="DU189" s="80"/>
      <c r="DV189" s="80"/>
      <c r="DW189" s="80"/>
      <c r="DX189" s="80"/>
      <c r="DY189" s="80"/>
      <c r="DZ189" s="80"/>
      <c r="EA189" s="80"/>
      <c r="EB189" s="80"/>
      <c r="EC189" s="80"/>
      <c r="ED189" s="80"/>
      <c r="EE189" s="80"/>
      <c r="EF189" s="80"/>
      <c r="EG189" s="80"/>
      <c r="EH189" s="80"/>
      <c r="EI189" s="80"/>
      <c r="EJ189" s="80"/>
      <c r="EK189" s="80"/>
      <c r="EL189" s="80"/>
      <c r="EM189" s="80"/>
      <c r="EN189" s="80"/>
      <c r="EO189" s="80"/>
      <c r="EP189" s="80"/>
      <c r="EQ189" s="80"/>
      <c r="ER189" s="80"/>
      <c r="ES189" s="80"/>
      <c r="ET189" s="80"/>
      <c r="EU189" s="80"/>
      <c r="EV189" s="80"/>
      <c r="EW189" s="80"/>
      <c r="EX189" s="80"/>
      <c r="EY189" s="80"/>
      <c r="EZ189" s="80"/>
      <c r="FA189" s="80"/>
      <c r="FB189" s="80"/>
      <c r="FC189" s="80"/>
      <c r="FD189" s="80"/>
      <c r="FE189" s="80"/>
      <c r="FF189" s="80"/>
      <c r="FG189" s="80"/>
      <c r="FH189" s="80"/>
      <c r="FI189" s="80"/>
      <c r="FJ189" s="80"/>
      <c r="FK189" s="80"/>
      <c r="FL189" s="80"/>
      <c r="FM189" s="80"/>
      <c r="FN189" s="80"/>
      <c r="FO189" s="80"/>
      <c r="FP189" s="80"/>
      <c r="FQ189" s="80"/>
      <c r="FR189" s="80"/>
      <c r="FS189" s="80"/>
      <c r="FT189" s="80"/>
      <c r="FU189" s="80"/>
      <c r="FV189" s="80"/>
      <c r="FW189" s="80"/>
      <c r="FX189" s="80"/>
      <c r="FY189" s="80"/>
      <c r="FZ189" s="80"/>
      <c r="GA189" s="80"/>
      <c r="GB189" s="80"/>
      <c r="GC189" s="80"/>
      <c r="GD189" s="80"/>
      <c r="GE189" s="80"/>
      <c r="GF189" s="80"/>
      <c r="GG189" s="80"/>
      <c r="GH189" s="80"/>
      <c r="GI189" s="80"/>
      <c r="GJ189" s="80"/>
      <c r="GK189" s="80"/>
      <c r="GL189" s="80"/>
      <c r="GM189" s="80"/>
      <c r="GN189" s="80"/>
      <c r="GO189" s="80"/>
      <c r="GP189" s="80"/>
      <c r="GQ189" s="80"/>
      <c r="GR189" s="80"/>
      <c r="GS189" s="80"/>
      <c r="GT189" s="80"/>
      <c r="GU189" s="80"/>
      <c r="GV189" s="80"/>
      <c r="GW189" s="80"/>
      <c r="GX189" s="80"/>
      <c r="GY189" s="80"/>
      <c r="GZ189" s="80"/>
      <c r="HA189" s="80"/>
      <c r="HB189" s="80"/>
      <c r="HC189" s="80"/>
      <c r="HD189" s="80"/>
      <c r="HE189" s="80"/>
      <c r="HF189" s="80"/>
      <c r="HG189" s="80"/>
      <c r="HH189" s="80"/>
      <c r="HI189" s="80"/>
      <c r="HJ189" s="80"/>
      <c r="HK189" s="80"/>
      <c r="HL189" s="80"/>
      <c r="HM189" s="80"/>
      <c r="HN189" s="80"/>
      <c r="HO189" s="80"/>
      <c r="HP189" s="80"/>
      <c r="HQ189" s="80"/>
      <c r="HR189" s="80"/>
      <c r="HS189" s="80"/>
      <c r="HT189" s="80"/>
      <c r="HU189" s="80"/>
    </row>
    <row r="190" spans="1:229" x14ac:dyDescent="0.25">
      <c r="A190" s="783"/>
      <c r="B190" s="784"/>
      <c r="C190" s="833"/>
      <c r="D190" s="787"/>
      <c r="E190" s="785"/>
      <c r="F190" s="786"/>
      <c r="G190" s="833"/>
      <c r="H190" s="787"/>
      <c r="I190" s="785"/>
      <c r="J190" s="786"/>
      <c r="K190" s="833"/>
      <c r="L190" s="787"/>
      <c r="M190" s="785"/>
      <c r="N190" s="786"/>
      <c r="O190" s="833"/>
      <c r="P190" s="787"/>
      <c r="Q190" s="785"/>
      <c r="R190" s="787"/>
      <c r="S190" s="80"/>
      <c r="T190" s="788"/>
      <c r="U190" s="789"/>
      <c r="V190" s="80"/>
      <c r="W190" s="80"/>
      <c r="X190" s="80"/>
      <c r="Y190" s="80"/>
      <c r="Z190" s="80"/>
      <c r="AA190" s="80"/>
      <c r="AB190" s="80"/>
      <c r="AC190" s="80"/>
      <c r="AD190" s="80"/>
      <c r="AE190" s="80"/>
      <c r="AF190" s="80"/>
      <c r="AG190" s="80"/>
      <c r="AH190" s="80"/>
      <c r="AI190" s="80"/>
      <c r="AJ190" s="80"/>
      <c r="AK190" s="80"/>
      <c r="AL190" s="80"/>
      <c r="AM190" s="80"/>
      <c r="AN190" s="80"/>
      <c r="AO190" s="80"/>
      <c r="AP190" s="80"/>
      <c r="AQ190" s="80"/>
      <c r="AR190" s="80"/>
      <c r="AS190" s="80"/>
      <c r="AT190" s="80"/>
      <c r="AU190" s="80"/>
      <c r="AV190" s="80"/>
      <c r="AW190" s="80"/>
      <c r="AX190" s="80"/>
      <c r="AY190" s="80"/>
      <c r="AZ190" s="80"/>
      <c r="BA190" s="80"/>
      <c r="BB190" s="80"/>
      <c r="BC190" s="80"/>
      <c r="BD190" s="80"/>
      <c r="BE190" s="80"/>
      <c r="BF190" s="80"/>
      <c r="BG190" s="80"/>
      <c r="BH190" s="80"/>
      <c r="BI190" s="80"/>
      <c r="BJ190" s="80"/>
      <c r="BK190" s="80"/>
      <c r="BL190" s="80"/>
      <c r="BM190" s="80"/>
      <c r="BN190" s="80"/>
      <c r="BO190" s="80"/>
      <c r="BP190" s="80"/>
      <c r="BQ190" s="80"/>
      <c r="BR190" s="80"/>
      <c r="BS190" s="80"/>
      <c r="BT190" s="80"/>
      <c r="BU190" s="80"/>
      <c r="BV190" s="80"/>
      <c r="BW190" s="80"/>
      <c r="BX190" s="80"/>
      <c r="BY190" s="80"/>
      <c r="BZ190" s="80"/>
      <c r="CA190" s="80"/>
      <c r="CB190" s="80"/>
      <c r="CC190" s="80"/>
      <c r="CD190" s="80"/>
      <c r="CE190" s="80"/>
      <c r="CF190" s="80"/>
      <c r="CG190" s="80"/>
      <c r="CH190" s="80"/>
      <c r="CI190" s="80"/>
      <c r="CJ190" s="80"/>
      <c r="CK190" s="80"/>
      <c r="CL190" s="80"/>
      <c r="CM190" s="80"/>
      <c r="CN190" s="80"/>
      <c r="CO190" s="80"/>
      <c r="CP190" s="80"/>
      <c r="CQ190" s="80"/>
      <c r="CR190" s="80"/>
      <c r="CS190" s="80"/>
      <c r="CT190" s="80"/>
      <c r="CU190" s="80"/>
      <c r="CV190" s="80"/>
      <c r="CW190" s="80"/>
      <c r="CX190" s="80"/>
      <c r="CY190" s="80"/>
      <c r="CZ190" s="80"/>
      <c r="DA190" s="80"/>
      <c r="DB190" s="80"/>
      <c r="DC190" s="80"/>
      <c r="DD190" s="80"/>
      <c r="DE190" s="80"/>
      <c r="DF190" s="80"/>
      <c r="DG190" s="80"/>
      <c r="DH190" s="80"/>
      <c r="DI190" s="80"/>
      <c r="DJ190" s="80"/>
      <c r="DK190" s="80"/>
      <c r="DL190" s="80"/>
      <c r="DM190" s="80"/>
      <c r="DN190" s="80"/>
      <c r="DO190" s="80"/>
      <c r="DP190" s="80"/>
      <c r="DQ190" s="80"/>
      <c r="DR190" s="80"/>
      <c r="DS190" s="80"/>
      <c r="DT190" s="80"/>
      <c r="DU190" s="80"/>
      <c r="DV190" s="80"/>
      <c r="DW190" s="80"/>
      <c r="DX190" s="80"/>
      <c r="DY190" s="80"/>
      <c r="DZ190" s="80"/>
      <c r="EA190" s="80"/>
      <c r="EB190" s="80"/>
      <c r="EC190" s="80"/>
      <c r="ED190" s="80"/>
      <c r="EE190" s="80"/>
      <c r="EF190" s="80"/>
      <c r="EG190" s="80"/>
      <c r="EH190" s="80"/>
      <c r="EI190" s="80"/>
      <c r="EJ190" s="80"/>
      <c r="EK190" s="80"/>
      <c r="EL190" s="80"/>
      <c r="EM190" s="80"/>
      <c r="EN190" s="80"/>
      <c r="EO190" s="80"/>
      <c r="EP190" s="80"/>
      <c r="EQ190" s="80"/>
      <c r="ER190" s="80"/>
      <c r="ES190" s="80"/>
      <c r="ET190" s="80"/>
      <c r="EU190" s="80"/>
      <c r="EV190" s="80"/>
      <c r="EW190" s="80"/>
      <c r="EX190" s="80"/>
      <c r="EY190" s="80"/>
      <c r="EZ190" s="80"/>
      <c r="FA190" s="80"/>
      <c r="FB190" s="80"/>
      <c r="FC190" s="80"/>
      <c r="FD190" s="80"/>
      <c r="FE190" s="80"/>
      <c r="FF190" s="80"/>
      <c r="FG190" s="80"/>
      <c r="FH190" s="80"/>
      <c r="FI190" s="80"/>
      <c r="FJ190" s="80"/>
      <c r="FK190" s="80"/>
      <c r="FL190" s="80"/>
      <c r="FM190" s="80"/>
      <c r="FN190" s="80"/>
      <c r="FO190" s="80"/>
      <c r="FP190" s="80"/>
      <c r="FQ190" s="80"/>
      <c r="FR190" s="80"/>
      <c r="FS190" s="80"/>
      <c r="FT190" s="80"/>
      <c r="FU190" s="80"/>
      <c r="FV190" s="80"/>
      <c r="FW190" s="80"/>
      <c r="FX190" s="80"/>
      <c r="FY190" s="80"/>
      <c r="FZ190" s="80"/>
      <c r="GA190" s="80"/>
      <c r="GB190" s="80"/>
      <c r="GC190" s="80"/>
      <c r="GD190" s="80"/>
      <c r="GE190" s="80"/>
      <c r="GF190" s="80"/>
      <c r="GG190" s="80"/>
      <c r="GH190" s="80"/>
      <c r="GI190" s="80"/>
      <c r="GJ190" s="80"/>
      <c r="GK190" s="80"/>
      <c r="GL190" s="80"/>
      <c r="GM190" s="80"/>
      <c r="GN190" s="80"/>
      <c r="GO190" s="80"/>
      <c r="GP190" s="80"/>
      <c r="GQ190" s="80"/>
      <c r="GR190" s="80"/>
      <c r="GS190" s="80"/>
      <c r="GT190" s="80"/>
      <c r="GU190" s="80"/>
      <c r="GV190" s="80"/>
      <c r="GW190" s="80"/>
      <c r="GX190" s="80"/>
      <c r="GY190" s="80"/>
      <c r="GZ190" s="80"/>
      <c r="HA190" s="80"/>
      <c r="HB190" s="80"/>
      <c r="HC190" s="80"/>
      <c r="HD190" s="80"/>
      <c r="HE190" s="80"/>
      <c r="HF190" s="80"/>
      <c r="HG190" s="80"/>
      <c r="HH190" s="80"/>
      <c r="HI190" s="80"/>
      <c r="HJ190" s="80"/>
      <c r="HK190" s="80"/>
      <c r="HL190" s="80"/>
      <c r="HM190" s="80"/>
      <c r="HN190" s="80"/>
      <c r="HO190" s="80"/>
      <c r="HP190" s="80"/>
      <c r="HQ190" s="80"/>
      <c r="HR190" s="80"/>
      <c r="HS190" s="80"/>
      <c r="HT190" s="80"/>
      <c r="HU190" s="80"/>
    </row>
    <row r="191" spans="1:229" ht="30" x14ac:dyDescent="0.25">
      <c r="A191" s="493">
        <v>21</v>
      </c>
      <c r="B191" s="494" t="s">
        <v>1659</v>
      </c>
      <c r="C191" s="832"/>
      <c r="D191" s="521"/>
      <c r="E191" s="776"/>
      <c r="F191" s="495"/>
      <c r="G191" s="832"/>
      <c r="H191" s="521"/>
      <c r="I191" s="776"/>
      <c r="J191" s="495"/>
      <c r="K191" s="832"/>
      <c r="L191" s="521"/>
      <c r="M191" s="776"/>
      <c r="N191" s="495"/>
      <c r="O191" s="832"/>
      <c r="P191" s="521"/>
      <c r="Q191" s="776"/>
      <c r="R191" s="521"/>
      <c r="T191" s="500">
        <f>SUM(T192:T199)</f>
        <v>97056.23025600001</v>
      </c>
      <c r="U191" s="501"/>
      <c r="W191" s="541"/>
    </row>
    <row r="192" spans="1:229" x14ac:dyDescent="0.25">
      <c r="A192" s="198"/>
      <c r="B192" s="202" t="s">
        <v>1661</v>
      </c>
      <c r="C192" s="779"/>
      <c r="D192" s="780"/>
      <c r="E192" s="823">
        <v>1</v>
      </c>
      <c r="F192" s="843">
        <f>E192*$T192</f>
        <v>69.355007999999998</v>
      </c>
      <c r="G192" s="779"/>
      <c r="H192" s="780"/>
      <c r="I192" s="824"/>
      <c r="J192" s="844"/>
      <c r="K192" s="779"/>
      <c r="L192" s="780"/>
      <c r="M192" s="824"/>
      <c r="N192" s="844"/>
      <c r="O192" s="779"/>
      <c r="P192" s="780"/>
      <c r="Q192" s="824"/>
      <c r="R192" s="780"/>
      <c r="S192" s="80"/>
      <c r="T192" s="199">
        <f>'ANALÍTICO ELÉTRICO E LÓGICO'!P892</f>
        <v>69.355007999999998</v>
      </c>
      <c r="U192" s="89"/>
      <c r="V192" s="80"/>
      <c r="W192" s="80"/>
      <c r="X192" s="80"/>
      <c r="Y192" s="80"/>
      <c r="Z192" s="80"/>
      <c r="AA192" s="80"/>
      <c r="AB192" s="80"/>
      <c r="AC192" s="80"/>
      <c r="AD192" s="80"/>
      <c r="AE192" s="80"/>
      <c r="AF192" s="80"/>
      <c r="AG192" s="80"/>
      <c r="AH192" s="80"/>
      <c r="AI192" s="80"/>
      <c r="AJ192" s="80"/>
      <c r="AK192" s="80"/>
      <c r="AL192" s="80"/>
      <c r="AM192" s="80"/>
      <c r="AN192" s="80"/>
      <c r="AO192" s="80"/>
      <c r="AP192" s="80"/>
      <c r="AQ192" s="80"/>
      <c r="AR192" s="80"/>
      <c r="AS192" s="80"/>
      <c r="AT192" s="80"/>
      <c r="AU192" s="80"/>
      <c r="AV192" s="80"/>
      <c r="AW192" s="80"/>
      <c r="AX192" s="80"/>
      <c r="AY192" s="80"/>
      <c r="AZ192" s="80"/>
      <c r="BA192" s="80"/>
      <c r="BB192" s="80"/>
      <c r="BC192" s="80"/>
      <c r="BD192" s="80"/>
      <c r="BE192" s="80"/>
      <c r="BF192" s="80"/>
      <c r="BG192" s="80"/>
      <c r="BH192" s="80"/>
      <c r="BI192" s="80"/>
      <c r="BJ192" s="80"/>
      <c r="BK192" s="80"/>
      <c r="BL192" s="80"/>
      <c r="BM192" s="80"/>
      <c r="BN192" s="80"/>
      <c r="BO192" s="80"/>
      <c r="BP192" s="80"/>
      <c r="BQ192" s="80"/>
      <c r="BR192" s="80"/>
      <c r="BS192" s="80"/>
      <c r="BT192" s="80"/>
      <c r="BU192" s="80"/>
      <c r="BV192" s="80"/>
      <c r="BW192" s="80"/>
      <c r="BX192" s="80"/>
      <c r="BY192" s="80"/>
      <c r="BZ192" s="80"/>
      <c r="CA192" s="80"/>
      <c r="CB192" s="80"/>
      <c r="CC192" s="80"/>
      <c r="CD192" s="80"/>
      <c r="CE192" s="80"/>
      <c r="CF192" s="80"/>
      <c r="CG192" s="80"/>
      <c r="CH192" s="80"/>
      <c r="CI192" s="80"/>
      <c r="CJ192" s="80"/>
      <c r="CK192" s="80"/>
      <c r="CL192" s="80"/>
      <c r="CM192" s="80"/>
      <c r="CN192" s="80"/>
      <c r="CO192" s="80"/>
      <c r="CP192" s="80"/>
      <c r="CQ192" s="80"/>
      <c r="CR192" s="80"/>
      <c r="CS192" s="80"/>
      <c r="CT192" s="80"/>
      <c r="CU192" s="80"/>
      <c r="CV192" s="80"/>
      <c r="CW192" s="80"/>
      <c r="CX192" s="80"/>
      <c r="CY192" s="80"/>
      <c r="CZ192" s="80"/>
      <c r="DA192" s="80"/>
      <c r="DB192" s="80"/>
      <c r="DC192" s="80"/>
      <c r="DD192" s="80"/>
      <c r="DE192" s="80"/>
      <c r="DF192" s="80"/>
      <c r="DG192" s="80"/>
      <c r="DH192" s="80"/>
      <c r="DI192" s="80"/>
      <c r="DJ192" s="80"/>
      <c r="DK192" s="80"/>
      <c r="DL192" s="80"/>
      <c r="DM192" s="80"/>
      <c r="DN192" s="80"/>
      <c r="DO192" s="80"/>
      <c r="DP192" s="80"/>
      <c r="DQ192" s="80"/>
      <c r="DR192" s="80"/>
      <c r="DS192" s="80"/>
      <c r="DT192" s="80"/>
      <c r="DU192" s="80"/>
      <c r="DV192" s="80"/>
      <c r="DW192" s="80"/>
      <c r="DX192" s="80"/>
      <c r="DY192" s="80"/>
      <c r="DZ192" s="80"/>
      <c r="EA192" s="80"/>
      <c r="EB192" s="80"/>
      <c r="EC192" s="80"/>
      <c r="ED192" s="80"/>
      <c r="EE192" s="80"/>
      <c r="EF192" s="80"/>
      <c r="EG192" s="80"/>
      <c r="EH192" s="80"/>
      <c r="EI192" s="80"/>
      <c r="EJ192" s="80"/>
      <c r="EK192" s="80"/>
      <c r="EL192" s="80"/>
      <c r="EM192" s="80"/>
      <c r="EN192" s="80"/>
      <c r="EO192" s="80"/>
      <c r="EP192" s="80"/>
      <c r="EQ192" s="80"/>
      <c r="ER192" s="80"/>
      <c r="ES192" s="80"/>
      <c r="ET192" s="80"/>
      <c r="EU192" s="80"/>
      <c r="EV192" s="80"/>
      <c r="EW192" s="80"/>
      <c r="EX192" s="80"/>
      <c r="EY192" s="80"/>
      <c r="EZ192" s="80"/>
      <c r="FA192" s="80"/>
      <c r="FB192" s="80"/>
      <c r="FC192" s="80"/>
      <c r="FD192" s="80"/>
      <c r="FE192" s="80"/>
      <c r="FF192" s="80"/>
      <c r="FG192" s="80"/>
      <c r="FH192" s="80"/>
      <c r="FI192" s="80"/>
      <c r="FJ192" s="80"/>
      <c r="FK192" s="80"/>
      <c r="FL192" s="80"/>
      <c r="FM192" s="80"/>
      <c r="FN192" s="80"/>
      <c r="FO192" s="80"/>
      <c r="FP192" s="80"/>
      <c r="FQ192" s="80"/>
      <c r="FR192" s="80"/>
      <c r="FS192" s="80"/>
      <c r="FT192" s="80"/>
      <c r="FU192" s="80"/>
      <c r="FV192" s="80"/>
      <c r="FW192" s="80"/>
      <c r="FX192" s="80"/>
      <c r="FY192" s="80"/>
      <c r="FZ192" s="80"/>
      <c r="GA192" s="80"/>
      <c r="GB192" s="80"/>
      <c r="GC192" s="80"/>
      <c r="GD192" s="80"/>
      <c r="GE192" s="80"/>
      <c r="GF192" s="80"/>
      <c r="GG192" s="80"/>
      <c r="GH192" s="80"/>
      <c r="GI192" s="80"/>
      <c r="GJ192" s="80"/>
      <c r="GK192" s="80"/>
      <c r="GL192" s="80"/>
      <c r="GM192" s="80"/>
      <c r="GN192" s="80"/>
      <c r="GO192" s="80"/>
      <c r="GP192" s="80"/>
      <c r="GQ192" s="80"/>
      <c r="GR192" s="80"/>
      <c r="GS192" s="80"/>
      <c r="GT192" s="80"/>
      <c r="GU192" s="80"/>
      <c r="GV192" s="80"/>
      <c r="GW192" s="80"/>
      <c r="GX192" s="80"/>
      <c r="GY192" s="80"/>
      <c r="GZ192" s="80"/>
      <c r="HA192" s="80"/>
      <c r="HB192" s="80"/>
      <c r="HC192" s="80"/>
      <c r="HD192" s="80"/>
      <c r="HE192" s="80"/>
      <c r="HF192" s="80"/>
      <c r="HG192" s="80"/>
      <c r="HH192" s="80"/>
      <c r="HI192" s="80"/>
      <c r="HJ192" s="80"/>
      <c r="HK192" s="80"/>
      <c r="HL192" s="80"/>
      <c r="HM192" s="80"/>
      <c r="HN192" s="80"/>
      <c r="HO192" s="80"/>
      <c r="HP192" s="80"/>
      <c r="HQ192" s="80"/>
      <c r="HR192" s="80"/>
      <c r="HS192" s="80"/>
      <c r="HT192" s="80"/>
      <c r="HU192" s="80"/>
    </row>
    <row r="193" spans="1:229" x14ac:dyDescent="0.25">
      <c r="A193" s="200"/>
      <c r="B193" s="203" t="s">
        <v>1247</v>
      </c>
      <c r="C193" s="779"/>
      <c r="D193" s="780"/>
      <c r="E193" s="823">
        <v>0.2</v>
      </c>
      <c r="F193" s="843">
        <f>E193*$T193</f>
        <v>1300.6007135999998</v>
      </c>
      <c r="G193" s="777">
        <v>0.2</v>
      </c>
      <c r="H193" s="778">
        <f t="shared" ref="H193:H194" si="18">G193*$T193</f>
        <v>1300.6007135999998</v>
      </c>
      <c r="I193" s="823">
        <v>0.2</v>
      </c>
      <c r="J193" s="843">
        <f t="shared" ref="J193:P196" si="19">I193*$T193</f>
        <v>1300.6007135999998</v>
      </c>
      <c r="K193" s="777">
        <v>0.2</v>
      </c>
      <c r="L193" s="778">
        <f t="shared" ref="L193:L194" si="20">K193*$T193</f>
        <v>1300.6007135999998</v>
      </c>
      <c r="M193" s="823">
        <v>0.1</v>
      </c>
      <c r="N193" s="843">
        <f t="shared" ref="N193:R198" si="21">M193*$T193</f>
        <v>650.30035679999992</v>
      </c>
      <c r="O193" s="777">
        <v>0.1</v>
      </c>
      <c r="P193" s="778">
        <f t="shared" ref="P193:P194" si="22">O193*$T193</f>
        <v>650.30035679999992</v>
      </c>
      <c r="Q193" s="824"/>
      <c r="R193" s="780"/>
      <c r="S193" s="80"/>
      <c r="T193" s="199">
        <f>'ANALÍTICO ELÉTRICO E LÓGICO'!P900</f>
        <v>6503.0035679999992</v>
      </c>
      <c r="U193" s="89"/>
      <c r="V193" s="80"/>
      <c r="W193" s="80"/>
      <c r="X193" s="80"/>
      <c r="Y193" s="80"/>
      <c r="Z193" s="80"/>
      <c r="AA193" s="80"/>
      <c r="AB193" s="80"/>
      <c r="AC193" s="80"/>
      <c r="AD193" s="80"/>
      <c r="AE193" s="80"/>
      <c r="AF193" s="80"/>
      <c r="AG193" s="80"/>
      <c r="AH193" s="80"/>
      <c r="AI193" s="80"/>
      <c r="AJ193" s="80"/>
      <c r="AK193" s="80"/>
      <c r="AL193" s="80"/>
      <c r="AM193" s="80"/>
      <c r="AN193" s="80"/>
      <c r="AO193" s="80"/>
      <c r="AP193" s="80"/>
      <c r="AQ193" s="80"/>
      <c r="AR193" s="80"/>
      <c r="AS193" s="80"/>
      <c r="AT193" s="80"/>
      <c r="AU193" s="80"/>
      <c r="AV193" s="80"/>
      <c r="AW193" s="80"/>
      <c r="AX193" s="80"/>
      <c r="AY193" s="80"/>
      <c r="AZ193" s="80"/>
      <c r="BA193" s="80"/>
      <c r="BB193" s="80"/>
      <c r="BC193" s="80"/>
      <c r="BD193" s="80"/>
      <c r="BE193" s="80"/>
      <c r="BF193" s="80"/>
      <c r="BG193" s="80"/>
      <c r="BH193" s="80"/>
      <c r="BI193" s="80"/>
      <c r="BJ193" s="80"/>
      <c r="BK193" s="80"/>
      <c r="BL193" s="80"/>
      <c r="BM193" s="80"/>
      <c r="BN193" s="80"/>
      <c r="BO193" s="80"/>
      <c r="BP193" s="80"/>
      <c r="BQ193" s="80"/>
      <c r="BR193" s="80"/>
      <c r="BS193" s="80"/>
      <c r="BT193" s="80"/>
      <c r="BU193" s="80"/>
      <c r="BV193" s="80"/>
      <c r="BW193" s="80"/>
      <c r="BX193" s="80"/>
      <c r="BY193" s="80"/>
      <c r="BZ193" s="80"/>
      <c r="CA193" s="80"/>
      <c r="CB193" s="80"/>
      <c r="CC193" s="80"/>
      <c r="CD193" s="80"/>
      <c r="CE193" s="80"/>
      <c r="CF193" s="80"/>
      <c r="CG193" s="80"/>
      <c r="CH193" s="80"/>
      <c r="CI193" s="80"/>
      <c r="CJ193" s="80"/>
      <c r="CK193" s="80"/>
      <c r="CL193" s="80"/>
      <c r="CM193" s="80"/>
      <c r="CN193" s="80"/>
      <c r="CO193" s="80"/>
      <c r="CP193" s="80"/>
      <c r="CQ193" s="80"/>
      <c r="CR193" s="80"/>
      <c r="CS193" s="80"/>
      <c r="CT193" s="80"/>
      <c r="CU193" s="80"/>
      <c r="CV193" s="80"/>
      <c r="CW193" s="80"/>
      <c r="CX193" s="80"/>
      <c r="CY193" s="80"/>
      <c r="CZ193" s="80"/>
      <c r="DA193" s="80"/>
      <c r="DB193" s="80"/>
      <c r="DC193" s="80"/>
      <c r="DD193" s="80"/>
      <c r="DE193" s="80"/>
      <c r="DF193" s="80"/>
      <c r="DG193" s="80"/>
      <c r="DH193" s="80"/>
      <c r="DI193" s="80"/>
      <c r="DJ193" s="80"/>
      <c r="DK193" s="80"/>
      <c r="DL193" s="80"/>
      <c r="DM193" s="80"/>
      <c r="DN193" s="80"/>
      <c r="DO193" s="80"/>
      <c r="DP193" s="80"/>
      <c r="DQ193" s="80"/>
      <c r="DR193" s="80"/>
      <c r="DS193" s="80"/>
      <c r="DT193" s="80"/>
      <c r="DU193" s="80"/>
      <c r="DV193" s="80"/>
      <c r="DW193" s="80"/>
      <c r="DX193" s="80"/>
      <c r="DY193" s="80"/>
      <c r="DZ193" s="80"/>
      <c r="EA193" s="80"/>
      <c r="EB193" s="80"/>
      <c r="EC193" s="80"/>
      <c r="ED193" s="80"/>
      <c r="EE193" s="80"/>
      <c r="EF193" s="80"/>
      <c r="EG193" s="80"/>
      <c r="EH193" s="80"/>
      <c r="EI193" s="80"/>
      <c r="EJ193" s="80"/>
      <c r="EK193" s="80"/>
      <c r="EL193" s="80"/>
      <c r="EM193" s="80"/>
      <c r="EN193" s="80"/>
      <c r="EO193" s="80"/>
      <c r="EP193" s="80"/>
      <c r="EQ193" s="80"/>
      <c r="ER193" s="80"/>
      <c r="ES193" s="80"/>
      <c r="ET193" s="80"/>
      <c r="EU193" s="80"/>
      <c r="EV193" s="80"/>
      <c r="EW193" s="80"/>
      <c r="EX193" s="80"/>
      <c r="EY193" s="80"/>
      <c r="EZ193" s="80"/>
      <c r="FA193" s="80"/>
      <c r="FB193" s="80"/>
      <c r="FC193" s="80"/>
      <c r="FD193" s="80"/>
      <c r="FE193" s="80"/>
      <c r="FF193" s="80"/>
      <c r="FG193" s="80"/>
      <c r="FH193" s="80"/>
      <c r="FI193" s="80"/>
      <c r="FJ193" s="80"/>
      <c r="FK193" s="80"/>
      <c r="FL193" s="80"/>
      <c r="FM193" s="80"/>
      <c r="FN193" s="80"/>
      <c r="FO193" s="80"/>
      <c r="FP193" s="80"/>
      <c r="FQ193" s="80"/>
      <c r="FR193" s="80"/>
      <c r="FS193" s="80"/>
      <c r="FT193" s="80"/>
      <c r="FU193" s="80"/>
      <c r="FV193" s="80"/>
      <c r="FW193" s="80"/>
      <c r="FX193" s="80"/>
      <c r="FY193" s="80"/>
      <c r="FZ193" s="80"/>
      <c r="GA193" s="80"/>
      <c r="GB193" s="80"/>
      <c r="GC193" s="80"/>
      <c r="GD193" s="80"/>
      <c r="GE193" s="80"/>
      <c r="GF193" s="80"/>
      <c r="GG193" s="80"/>
      <c r="GH193" s="80"/>
      <c r="GI193" s="80"/>
      <c r="GJ193" s="80"/>
      <c r="GK193" s="80"/>
      <c r="GL193" s="80"/>
      <c r="GM193" s="80"/>
      <c r="GN193" s="80"/>
      <c r="GO193" s="80"/>
      <c r="GP193" s="80"/>
      <c r="GQ193" s="80"/>
      <c r="GR193" s="80"/>
      <c r="GS193" s="80"/>
      <c r="GT193" s="80"/>
      <c r="GU193" s="80"/>
      <c r="GV193" s="80"/>
      <c r="GW193" s="80"/>
      <c r="GX193" s="80"/>
      <c r="GY193" s="80"/>
      <c r="GZ193" s="80"/>
      <c r="HA193" s="80"/>
      <c r="HB193" s="80"/>
      <c r="HC193" s="80"/>
      <c r="HD193" s="80"/>
      <c r="HE193" s="80"/>
      <c r="HF193" s="80"/>
      <c r="HG193" s="80"/>
      <c r="HH193" s="80"/>
      <c r="HI193" s="80"/>
      <c r="HJ193" s="80"/>
      <c r="HK193" s="80"/>
      <c r="HL193" s="80"/>
      <c r="HM193" s="80"/>
      <c r="HN193" s="80"/>
      <c r="HO193" s="80"/>
      <c r="HP193" s="80"/>
      <c r="HQ193" s="80"/>
      <c r="HR193" s="80"/>
      <c r="HS193" s="80"/>
      <c r="HT193" s="80"/>
      <c r="HU193" s="80"/>
    </row>
    <row r="194" spans="1:229" ht="30" x14ac:dyDescent="0.25">
      <c r="A194" s="200"/>
      <c r="B194" s="203" t="s">
        <v>1702</v>
      </c>
      <c r="C194" s="779"/>
      <c r="D194" s="780"/>
      <c r="E194" s="824"/>
      <c r="F194" s="844"/>
      <c r="G194" s="777">
        <v>0.2</v>
      </c>
      <c r="H194" s="778">
        <f t="shared" si="18"/>
        <v>4156.8511967999993</v>
      </c>
      <c r="I194" s="823">
        <v>0.2</v>
      </c>
      <c r="J194" s="843">
        <f t="shared" si="19"/>
        <v>4156.8511967999993</v>
      </c>
      <c r="K194" s="777">
        <v>0.2</v>
      </c>
      <c r="L194" s="778">
        <f t="shared" si="20"/>
        <v>4156.8511967999993</v>
      </c>
      <c r="M194" s="823">
        <v>0.2</v>
      </c>
      <c r="N194" s="843">
        <f t="shared" si="21"/>
        <v>4156.8511967999993</v>
      </c>
      <c r="O194" s="777">
        <v>0.2</v>
      </c>
      <c r="P194" s="778">
        <f t="shared" si="22"/>
        <v>4156.8511967999993</v>
      </c>
      <c r="Q194" s="824"/>
      <c r="R194" s="780"/>
      <c r="S194" s="80"/>
      <c r="T194" s="199">
        <f>'ANALÍTICO ELÉTRICO E LÓGICO'!P971</f>
        <v>20784.255983999996</v>
      </c>
      <c r="U194" s="89"/>
      <c r="V194" s="80"/>
      <c r="W194" s="80"/>
      <c r="X194" s="80"/>
      <c r="Y194" s="80"/>
      <c r="Z194" s="80"/>
      <c r="AA194" s="80"/>
      <c r="AB194" s="80"/>
      <c r="AC194" s="80"/>
      <c r="AD194" s="80"/>
      <c r="AE194" s="80"/>
      <c r="AF194" s="80"/>
      <c r="AG194" s="80"/>
      <c r="AH194" s="80"/>
      <c r="AI194" s="80"/>
      <c r="AJ194" s="80"/>
      <c r="AK194" s="80"/>
      <c r="AL194" s="80"/>
      <c r="AM194" s="80"/>
      <c r="AN194" s="80"/>
      <c r="AO194" s="80"/>
      <c r="AP194" s="80"/>
      <c r="AQ194" s="80"/>
      <c r="AR194" s="80"/>
      <c r="AS194" s="80"/>
      <c r="AT194" s="80"/>
      <c r="AU194" s="80"/>
      <c r="AV194" s="80"/>
      <c r="AW194" s="80"/>
      <c r="AX194" s="80"/>
      <c r="AY194" s="80"/>
      <c r="AZ194" s="80"/>
      <c r="BA194" s="80"/>
      <c r="BB194" s="80"/>
      <c r="BC194" s="80"/>
      <c r="BD194" s="80"/>
      <c r="BE194" s="80"/>
      <c r="BF194" s="80"/>
      <c r="BG194" s="80"/>
      <c r="BH194" s="80"/>
      <c r="BI194" s="80"/>
      <c r="BJ194" s="80"/>
      <c r="BK194" s="80"/>
      <c r="BL194" s="80"/>
      <c r="BM194" s="80"/>
      <c r="BN194" s="80"/>
      <c r="BO194" s="80"/>
      <c r="BP194" s="80"/>
      <c r="BQ194" s="80"/>
      <c r="BR194" s="80"/>
      <c r="BS194" s="80"/>
      <c r="BT194" s="80"/>
      <c r="BU194" s="80"/>
      <c r="BV194" s="80"/>
      <c r="BW194" s="80"/>
      <c r="BX194" s="80"/>
      <c r="BY194" s="80"/>
      <c r="BZ194" s="80"/>
      <c r="CA194" s="80"/>
      <c r="CB194" s="80"/>
      <c r="CC194" s="80"/>
      <c r="CD194" s="80"/>
      <c r="CE194" s="80"/>
      <c r="CF194" s="80"/>
      <c r="CG194" s="80"/>
      <c r="CH194" s="80"/>
      <c r="CI194" s="80"/>
      <c r="CJ194" s="80"/>
      <c r="CK194" s="80"/>
      <c r="CL194" s="80"/>
      <c r="CM194" s="80"/>
      <c r="CN194" s="80"/>
      <c r="CO194" s="80"/>
      <c r="CP194" s="80"/>
      <c r="CQ194" s="80"/>
      <c r="CR194" s="80"/>
      <c r="CS194" s="80"/>
      <c r="CT194" s="80"/>
      <c r="CU194" s="80"/>
      <c r="CV194" s="80"/>
      <c r="CW194" s="80"/>
      <c r="CX194" s="80"/>
      <c r="CY194" s="80"/>
      <c r="CZ194" s="80"/>
      <c r="DA194" s="80"/>
      <c r="DB194" s="80"/>
      <c r="DC194" s="80"/>
      <c r="DD194" s="80"/>
      <c r="DE194" s="80"/>
      <c r="DF194" s="80"/>
      <c r="DG194" s="80"/>
      <c r="DH194" s="80"/>
      <c r="DI194" s="80"/>
      <c r="DJ194" s="80"/>
      <c r="DK194" s="80"/>
      <c r="DL194" s="80"/>
      <c r="DM194" s="80"/>
      <c r="DN194" s="80"/>
      <c r="DO194" s="80"/>
      <c r="DP194" s="80"/>
      <c r="DQ194" s="80"/>
      <c r="DR194" s="80"/>
      <c r="DS194" s="80"/>
      <c r="DT194" s="80"/>
      <c r="DU194" s="80"/>
      <c r="DV194" s="80"/>
      <c r="DW194" s="80"/>
      <c r="DX194" s="80"/>
      <c r="DY194" s="80"/>
      <c r="DZ194" s="80"/>
      <c r="EA194" s="80"/>
      <c r="EB194" s="80"/>
      <c r="EC194" s="80"/>
      <c r="ED194" s="80"/>
      <c r="EE194" s="80"/>
      <c r="EF194" s="80"/>
      <c r="EG194" s="80"/>
      <c r="EH194" s="80"/>
      <c r="EI194" s="80"/>
      <c r="EJ194" s="80"/>
      <c r="EK194" s="80"/>
      <c r="EL194" s="80"/>
      <c r="EM194" s="80"/>
      <c r="EN194" s="80"/>
      <c r="EO194" s="80"/>
      <c r="EP194" s="80"/>
      <c r="EQ194" s="80"/>
      <c r="ER194" s="80"/>
      <c r="ES194" s="80"/>
      <c r="ET194" s="80"/>
      <c r="EU194" s="80"/>
      <c r="EV194" s="80"/>
      <c r="EW194" s="80"/>
      <c r="EX194" s="80"/>
      <c r="EY194" s="80"/>
      <c r="EZ194" s="80"/>
      <c r="FA194" s="80"/>
      <c r="FB194" s="80"/>
      <c r="FC194" s="80"/>
      <c r="FD194" s="80"/>
      <c r="FE194" s="80"/>
      <c r="FF194" s="80"/>
      <c r="FG194" s="80"/>
      <c r="FH194" s="80"/>
      <c r="FI194" s="80"/>
      <c r="FJ194" s="80"/>
      <c r="FK194" s="80"/>
      <c r="FL194" s="80"/>
      <c r="FM194" s="80"/>
      <c r="FN194" s="80"/>
      <c r="FO194" s="80"/>
      <c r="FP194" s="80"/>
      <c r="FQ194" s="80"/>
      <c r="FR194" s="80"/>
      <c r="FS194" s="80"/>
      <c r="FT194" s="80"/>
      <c r="FU194" s="80"/>
      <c r="FV194" s="80"/>
      <c r="FW194" s="80"/>
      <c r="FX194" s="80"/>
      <c r="FY194" s="80"/>
      <c r="FZ194" s="80"/>
      <c r="GA194" s="80"/>
      <c r="GB194" s="80"/>
      <c r="GC194" s="80"/>
      <c r="GD194" s="80"/>
      <c r="GE194" s="80"/>
      <c r="GF194" s="80"/>
      <c r="GG194" s="80"/>
      <c r="GH194" s="80"/>
      <c r="GI194" s="80"/>
      <c r="GJ194" s="80"/>
      <c r="GK194" s="80"/>
      <c r="GL194" s="80"/>
      <c r="GM194" s="80"/>
      <c r="GN194" s="80"/>
      <c r="GO194" s="80"/>
      <c r="GP194" s="80"/>
      <c r="GQ194" s="80"/>
      <c r="GR194" s="80"/>
      <c r="GS194" s="80"/>
      <c r="GT194" s="80"/>
      <c r="GU194" s="80"/>
      <c r="GV194" s="80"/>
      <c r="GW194" s="80"/>
      <c r="GX194" s="80"/>
      <c r="GY194" s="80"/>
      <c r="GZ194" s="80"/>
      <c r="HA194" s="80"/>
      <c r="HB194" s="80"/>
      <c r="HC194" s="80"/>
      <c r="HD194" s="80"/>
      <c r="HE194" s="80"/>
      <c r="HF194" s="80"/>
      <c r="HG194" s="80"/>
      <c r="HH194" s="80"/>
      <c r="HI194" s="80"/>
      <c r="HJ194" s="80"/>
      <c r="HK194" s="80"/>
      <c r="HL194" s="80"/>
      <c r="HM194" s="80"/>
      <c r="HN194" s="80"/>
      <c r="HO194" s="80"/>
      <c r="HP194" s="80"/>
      <c r="HQ194" s="80"/>
      <c r="HR194" s="80"/>
      <c r="HS194" s="80"/>
      <c r="HT194" s="80"/>
      <c r="HU194" s="80"/>
    </row>
    <row r="195" spans="1:229" x14ac:dyDescent="0.25">
      <c r="A195" s="197"/>
      <c r="B195" s="203" t="s">
        <v>1722</v>
      </c>
      <c r="C195" s="779"/>
      <c r="D195" s="780"/>
      <c r="E195" s="824"/>
      <c r="F195" s="844"/>
      <c r="G195" s="779"/>
      <c r="H195" s="780"/>
      <c r="I195" s="824"/>
      <c r="J195" s="844"/>
      <c r="K195" s="779"/>
      <c r="L195" s="780"/>
      <c r="M195" s="823">
        <v>0.3</v>
      </c>
      <c r="N195" s="843">
        <f t="shared" si="21"/>
        <v>6760.4429303999996</v>
      </c>
      <c r="O195" s="777">
        <v>0.3</v>
      </c>
      <c r="P195" s="778">
        <f t="shared" si="21"/>
        <v>6760.4429303999996</v>
      </c>
      <c r="Q195" s="823">
        <v>0.4</v>
      </c>
      <c r="R195" s="778">
        <f t="shared" si="21"/>
        <v>9013.9239072</v>
      </c>
      <c r="S195" s="80"/>
      <c r="T195" s="199">
        <f>'ANALÍTICO ELÉTRICO E LÓGICO'!P994</f>
        <v>22534.809767999999</v>
      </c>
      <c r="U195" s="89"/>
      <c r="V195" s="80"/>
      <c r="W195" s="80"/>
      <c r="X195" s="80"/>
      <c r="Y195" s="80"/>
      <c r="Z195" s="80"/>
      <c r="AA195" s="80"/>
      <c r="AB195" s="80"/>
      <c r="AC195" s="80"/>
      <c r="AD195" s="80"/>
      <c r="AE195" s="80"/>
      <c r="AF195" s="80"/>
      <c r="AG195" s="80"/>
      <c r="AH195" s="80"/>
      <c r="AI195" s="80"/>
      <c r="AJ195" s="80"/>
      <c r="AK195" s="80"/>
      <c r="AL195" s="80"/>
      <c r="AM195" s="80"/>
      <c r="AN195" s="80"/>
      <c r="AO195" s="80"/>
      <c r="AP195" s="80"/>
      <c r="AQ195" s="80"/>
      <c r="AR195" s="80"/>
      <c r="AS195" s="80"/>
      <c r="AT195" s="80"/>
      <c r="AU195" s="80"/>
      <c r="AV195" s="80"/>
      <c r="AW195" s="80"/>
      <c r="AX195" s="80"/>
      <c r="AY195" s="80"/>
      <c r="AZ195" s="80"/>
      <c r="BA195" s="80"/>
      <c r="BB195" s="80"/>
      <c r="BC195" s="80"/>
      <c r="BD195" s="80"/>
      <c r="BE195" s="80"/>
      <c r="BF195" s="80"/>
      <c r="BG195" s="80"/>
      <c r="BH195" s="80"/>
      <c r="BI195" s="80"/>
      <c r="BJ195" s="80"/>
      <c r="BK195" s="80"/>
      <c r="BL195" s="80"/>
      <c r="BM195" s="80"/>
      <c r="BN195" s="80"/>
      <c r="BO195" s="80"/>
      <c r="BP195" s="80"/>
      <c r="BQ195" s="80"/>
      <c r="BR195" s="80"/>
      <c r="BS195" s="80"/>
      <c r="BT195" s="80"/>
      <c r="BU195" s="80"/>
      <c r="BV195" s="80"/>
      <c r="BW195" s="80"/>
      <c r="BX195" s="80"/>
      <c r="BY195" s="80"/>
      <c r="BZ195" s="80"/>
      <c r="CA195" s="80"/>
      <c r="CB195" s="80"/>
      <c r="CC195" s="80"/>
      <c r="CD195" s="80"/>
      <c r="CE195" s="80"/>
      <c r="CF195" s="80"/>
      <c r="CG195" s="80"/>
      <c r="CH195" s="80"/>
      <c r="CI195" s="80"/>
      <c r="CJ195" s="80"/>
      <c r="CK195" s="80"/>
      <c r="CL195" s="80"/>
      <c r="CM195" s="80"/>
      <c r="CN195" s="80"/>
      <c r="CO195" s="80"/>
      <c r="CP195" s="80"/>
      <c r="CQ195" s="80"/>
      <c r="CR195" s="80"/>
      <c r="CS195" s="80"/>
      <c r="CT195" s="80"/>
      <c r="CU195" s="80"/>
      <c r="CV195" s="80"/>
      <c r="CW195" s="80"/>
      <c r="CX195" s="80"/>
      <c r="CY195" s="80"/>
      <c r="CZ195" s="80"/>
      <c r="DA195" s="80"/>
      <c r="DB195" s="80"/>
      <c r="DC195" s="80"/>
      <c r="DD195" s="80"/>
      <c r="DE195" s="80"/>
      <c r="DF195" s="80"/>
      <c r="DG195" s="80"/>
      <c r="DH195" s="80"/>
      <c r="DI195" s="80"/>
      <c r="DJ195" s="80"/>
      <c r="DK195" s="80"/>
      <c r="DL195" s="80"/>
      <c r="DM195" s="80"/>
      <c r="DN195" s="80"/>
      <c r="DO195" s="80"/>
      <c r="DP195" s="80"/>
      <c r="DQ195" s="80"/>
      <c r="DR195" s="80"/>
      <c r="DS195" s="80"/>
      <c r="DT195" s="80"/>
      <c r="DU195" s="80"/>
      <c r="DV195" s="80"/>
      <c r="DW195" s="80"/>
      <c r="DX195" s="80"/>
      <c r="DY195" s="80"/>
      <c r="DZ195" s="80"/>
      <c r="EA195" s="80"/>
      <c r="EB195" s="80"/>
      <c r="EC195" s="80"/>
      <c r="ED195" s="80"/>
      <c r="EE195" s="80"/>
      <c r="EF195" s="80"/>
      <c r="EG195" s="80"/>
      <c r="EH195" s="80"/>
      <c r="EI195" s="80"/>
      <c r="EJ195" s="80"/>
      <c r="EK195" s="80"/>
      <c r="EL195" s="80"/>
      <c r="EM195" s="80"/>
      <c r="EN195" s="80"/>
      <c r="EO195" s="80"/>
      <c r="EP195" s="80"/>
      <c r="EQ195" s="80"/>
      <c r="ER195" s="80"/>
      <c r="ES195" s="80"/>
      <c r="ET195" s="80"/>
      <c r="EU195" s="80"/>
      <c r="EV195" s="80"/>
      <c r="EW195" s="80"/>
      <c r="EX195" s="80"/>
      <c r="EY195" s="80"/>
      <c r="EZ195" s="80"/>
      <c r="FA195" s="80"/>
      <c r="FB195" s="80"/>
      <c r="FC195" s="80"/>
      <c r="FD195" s="80"/>
      <c r="FE195" s="80"/>
      <c r="FF195" s="80"/>
      <c r="FG195" s="80"/>
      <c r="FH195" s="80"/>
      <c r="FI195" s="80"/>
      <c r="FJ195" s="80"/>
      <c r="FK195" s="80"/>
      <c r="FL195" s="80"/>
      <c r="FM195" s="80"/>
      <c r="FN195" s="80"/>
      <c r="FO195" s="80"/>
      <c r="FP195" s="80"/>
      <c r="FQ195" s="80"/>
      <c r="FR195" s="80"/>
      <c r="FS195" s="80"/>
      <c r="FT195" s="80"/>
      <c r="FU195" s="80"/>
      <c r="FV195" s="80"/>
      <c r="FW195" s="80"/>
      <c r="FX195" s="80"/>
      <c r="FY195" s="80"/>
      <c r="FZ195" s="80"/>
      <c r="GA195" s="80"/>
      <c r="GB195" s="80"/>
      <c r="GC195" s="80"/>
      <c r="GD195" s="80"/>
      <c r="GE195" s="80"/>
      <c r="GF195" s="80"/>
      <c r="GG195" s="80"/>
      <c r="GH195" s="80"/>
      <c r="GI195" s="80"/>
      <c r="GJ195" s="80"/>
      <c r="GK195" s="80"/>
      <c r="GL195" s="80"/>
      <c r="GM195" s="80"/>
      <c r="GN195" s="80"/>
      <c r="GO195" s="80"/>
      <c r="GP195" s="80"/>
      <c r="GQ195" s="80"/>
      <c r="GR195" s="80"/>
      <c r="GS195" s="80"/>
      <c r="GT195" s="80"/>
      <c r="GU195" s="80"/>
      <c r="GV195" s="80"/>
      <c r="GW195" s="80"/>
      <c r="GX195" s="80"/>
      <c r="GY195" s="80"/>
      <c r="GZ195" s="80"/>
      <c r="HA195" s="80"/>
      <c r="HB195" s="80"/>
      <c r="HC195" s="80"/>
      <c r="HD195" s="80"/>
      <c r="HE195" s="80"/>
      <c r="HF195" s="80"/>
      <c r="HG195" s="80"/>
      <c r="HH195" s="80"/>
      <c r="HI195" s="80"/>
      <c r="HJ195" s="80"/>
      <c r="HK195" s="80"/>
      <c r="HL195" s="80"/>
      <c r="HM195" s="80"/>
      <c r="HN195" s="80"/>
      <c r="HO195" s="80"/>
      <c r="HP195" s="80"/>
      <c r="HQ195" s="80"/>
      <c r="HR195" s="80"/>
      <c r="HS195" s="80"/>
      <c r="HT195" s="80"/>
      <c r="HU195" s="80"/>
    </row>
    <row r="196" spans="1:229" ht="18.75" customHeight="1" x14ac:dyDescent="0.25">
      <c r="A196" s="197"/>
      <c r="B196" s="203" t="s">
        <v>1756</v>
      </c>
      <c r="C196" s="779"/>
      <c r="D196" s="780"/>
      <c r="E196" s="824"/>
      <c r="F196" s="844"/>
      <c r="G196" s="779"/>
      <c r="H196" s="780"/>
      <c r="I196" s="823">
        <v>0.2</v>
      </c>
      <c r="J196" s="843">
        <f t="shared" si="19"/>
        <v>1202.0637887999999</v>
      </c>
      <c r="K196" s="777">
        <v>0.3</v>
      </c>
      <c r="L196" s="778">
        <f t="shared" si="19"/>
        <v>1803.0956831999995</v>
      </c>
      <c r="M196" s="823">
        <v>0.3</v>
      </c>
      <c r="N196" s="843">
        <f t="shared" si="19"/>
        <v>1803.0956831999995</v>
      </c>
      <c r="O196" s="777">
        <v>0.2</v>
      </c>
      <c r="P196" s="778">
        <f t="shared" si="19"/>
        <v>1202.0637887999999</v>
      </c>
      <c r="Q196" s="824"/>
      <c r="R196" s="780"/>
      <c r="S196" s="80"/>
      <c r="T196" s="199">
        <f>'ANALÍTICO ELÉTRICO E LÓGICO'!P1043</f>
        <v>6010.3189439999987</v>
      </c>
      <c r="U196" s="89"/>
      <c r="V196" s="80"/>
      <c r="W196" s="80"/>
      <c r="X196" s="80"/>
      <c r="Y196" s="80"/>
      <c r="Z196" s="80"/>
      <c r="AA196" s="80"/>
      <c r="AB196" s="80"/>
      <c r="AC196" s="80"/>
      <c r="AD196" s="80"/>
      <c r="AE196" s="80"/>
      <c r="AF196" s="80"/>
      <c r="AG196" s="80"/>
      <c r="AH196" s="80"/>
      <c r="AI196" s="80"/>
      <c r="AJ196" s="80"/>
      <c r="AK196" s="80"/>
      <c r="AL196" s="80"/>
      <c r="AM196" s="80"/>
      <c r="AN196" s="80"/>
      <c r="AO196" s="80"/>
      <c r="AP196" s="80"/>
      <c r="AQ196" s="80"/>
      <c r="AR196" s="80"/>
      <c r="AS196" s="80"/>
      <c r="AT196" s="80"/>
      <c r="AU196" s="80"/>
      <c r="AV196" s="80"/>
      <c r="AW196" s="80"/>
      <c r="AX196" s="80"/>
      <c r="AY196" s="80"/>
      <c r="AZ196" s="80"/>
      <c r="BA196" s="80"/>
      <c r="BB196" s="80"/>
      <c r="BC196" s="80"/>
      <c r="BD196" s="80"/>
      <c r="BE196" s="80"/>
      <c r="BF196" s="80"/>
      <c r="BG196" s="80"/>
      <c r="BH196" s="80"/>
      <c r="BI196" s="80"/>
      <c r="BJ196" s="80"/>
      <c r="BK196" s="80"/>
      <c r="BL196" s="80"/>
      <c r="BM196" s="80"/>
      <c r="BN196" s="80"/>
      <c r="BO196" s="80"/>
      <c r="BP196" s="80"/>
      <c r="BQ196" s="80"/>
      <c r="BR196" s="80"/>
      <c r="BS196" s="80"/>
      <c r="BT196" s="80"/>
      <c r="BU196" s="80"/>
      <c r="BV196" s="80"/>
      <c r="BW196" s="80"/>
      <c r="BX196" s="80"/>
      <c r="BY196" s="80"/>
      <c r="BZ196" s="80"/>
      <c r="CA196" s="80"/>
      <c r="CB196" s="80"/>
      <c r="CC196" s="80"/>
      <c r="CD196" s="80"/>
      <c r="CE196" s="80"/>
      <c r="CF196" s="80"/>
      <c r="CG196" s="80"/>
      <c r="CH196" s="80"/>
      <c r="CI196" s="80"/>
      <c r="CJ196" s="80"/>
      <c r="CK196" s="80"/>
      <c r="CL196" s="80"/>
      <c r="CM196" s="80"/>
      <c r="CN196" s="80"/>
      <c r="CO196" s="80"/>
      <c r="CP196" s="80"/>
      <c r="CQ196" s="80"/>
      <c r="CR196" s="80"/>
      <c r="CS196" s="80"/>
      <c r="CT196" s="80"/>
      <c r="CU196" s="80"/>
      <c r="CV196" s="80"/>
      <c r="CW196" s="80"/>
      <c r="CX196" s="80"/>
      <c r="CY196" s="80"/>
      <c r="CZ196" s="80"/>
      <c r="DA196" s="80"/>
      <c r="DB196" s="80"/>
      <c r="DC196" s="80"/>
      <c r="DD196" s="80"/>
      <c r="DE196" s="80"/>
      <c r="DF196" s="80"/>
      <c r="DG196" s="80"/>
      <c r="DH196" s="80"/>
      <c r="DI196" s="80"/>
      <c r="DJ196" s="80"/>
      <c r="DK196" s="80"/>
      <c r="DL196" s="80"/>
      <c r="DM196" s="80"/>
      <c r="DN196" s="80"/>
      <c r="DO196" s="80"/>
      <c r="DP196" s="80"/>
      <c r="DQ196" s="80"/>
      <c r="DR196" s="80"/>
      <c r="DS196" s="80"/>
      <c r="DT196" s="80"/>
      <c r="DU196" s="80"/>
      <c r="DV196" s="80"/>
      <c r="DW196" s="80"/>
      <c r="DX196" s="80"/>
      <c r="DY196" s="80"/>
      <c r="DZ196" s="80"/>
      <c r="EA196" s="80"/>
      <c r="EB196" s="80"/>
      <c r="EC196" s="80"/>
      <c r="ED196" s="80"/>
      <c r="EE196" s="80"/>
      <c r="EF196" s="80"/>
      <c r="EG196" s="80"/>
      <c r="EH196" s="80"/>
      <c r="EI196" s="80"/>
      <c r="EJ196" s="80"/>
      <c r="EK196" s="80"/>
      <c r="EL196" s="80"/>
      <c r="EM196" s="80"/>
      <c r="EN196" s="80"/>
      <c r="EO196" s="80"/>
      <c r="EP196" s="80"/>
      <c r="EQ196" s="80"/>
      <c r="ER196" s="80"/>
      <c r="ES196" s="80"/>
      <c r="ET196" s="80"/>
      <c r="EU196" s="80"/>
      <c r="EV196" s="80"/>
      <c r="EW196" s="80"/>
      <c r="EX196" s="80"/>
      <c r="EY196" s="80"/>
      <c r="EZ196" s="80"/>
      <c r="FA196" s="80"/>
      <c r="FB196" s="80"/>
      <c r="FC196" s="80"/>
      <c r="FD196" s="80"/>
      <c r="FE196" s="80"/>
      <c r="FF196" s="80"/>
      <c r="FG196" s="80"/>
      <c r="FH196" s="80"/>
      <c r="FI196" s="80"/>
      <c r="FJ196" s="80"/>
      <c r="FK196" s="80"/>
      <c r="FL196" s="80"/>
      <c r="FM196" s="80"/>
      <c r="FN196" s="80"/>
      <c r="FO196" s="80"/>
      <c r="FP196" s="80"/>
      <c r="FQ196" s="80"/>
      <c r="FR196" s="80"/>
      <c r="FS196" s="80"/>
      <c r="FT196" s="80"/>
      <c r="FU196" s="80"/>
      <c r="FV196" s="80"/>
      <c r="FW196" s="80"/>
      <c r="FX196" s="80"/>
      <c r="FY196" s="80"/>
      <c r="FZ196" s="80"/>
      <c r="GA196" s="80"/>
      <c r="GB196" s="80"/>
      <c r="GC196" s="80"/>
      <c r="GD196" s="80"/>
      <c r="GE196" s="80"/>
      <c r="GF196" s="80"/>
      <c r="GG196" s="80"/>
      <c r="GH196" s="80"/>
      <c r="GI196" s="80"/>
      <c r="GJ196" s="80"/>
      <c r="GK196" s="80"/>
      <c r="GL196" s="80"/>
      <c r="GM196" s="80"/>
      <c r="GN196" s="80"/>
      <c r="GO196" s="80"/>
      <c r="GP196" s="80"/>
      <c r="GQ196" s="80"/>
      <c r="GR196" s="80"/>
      <c r="GS196" s="80"/>
      <c r="GT196" s="80"/>
      <c r="GU196" s="80"/>
      <c r="GV196" s="80"/>
      <c r="GW196" s="80"/>
      <c r="GX196" s="80"/>
      <c r="GY196" s="80"/>
      <c r="GZ196" s="80"/>
      <c r="HA196" s="80"/>
      <c r="HB196" s="80"/>
      <c r="HC196" s="80"/>
      <c r="HD196" s="80"/>
      <c r="HE196" s="80"/>
      <c r="HF196" s="80"/>
      <c r="HG196" s="80"/>
      <c r="HH196" s="80"/>
      <c r="HI196" s="80"/>
      <c r="HJ196" s="80"/>
      <c r="HK196" s="80"/>
      <c r="HL196" s="80"/>
      <c r="HM196" s="80"/>
      <c r="HN196" s="80"/>
      <c r="HO196" s="80"/>
      <c r="HP196" s="80"/>
      <c r="HQ196" s="80"/>
      <c r="HR196" s="80"/>
      <c r="HS196" s="80"/>
      <c r="HT196" s="80"/>
      <c r="HU196" s="80"/>
    </row>
    <row r="197" spans="1:229" ht="18.75" customHeight="1" x14ac:dyDescent="0.25">
      <c r="A197" s="197"/>
      <c r="B197" s="203" t="s">
        <v>1777</v>
      </c>
      <c r="C197" s="779"/>
      <c r="D197" s="780"/>
      <c r="E197" s="824"/>
      <c r="F197" s="844"/>
      <c r="G197" s="779"/>
      <c r="H197" s="780"/>
      <c r="I197" s="824"/>
      <c r="J197" s="844"/>
      <c r="K197" s="779"/>
      <c r="L197" s="780"/>
      <c r="M197" s="824"/>
      <c r="N197" s="844"/>
      <c r="O197" s="779"/>
      <c r="P197" s="780"/>
      <c r="Q197" s="823">
        <v>1</v>
      </c>
      <c r="R197" s="778">
        <f t="shared" si="21"/>
        <v>2755.2672000000002</v>
      </c>
      <c r="S197" s="80"/>
      <c r="T197" s="199">
        <f>'ANALÍTICO ELÉTRICO E LÓGICO'!P1075</f>
        <v>2755.2672000000002</v>
      </c>
      <c r="U197" s="89"/>
      <c r="V197" s="80"/>
      <c r="W197" s="80"/>
      <c r="X197" s="80"/>
      <c r="Y197" s="80"/>
      <c r="Z197" s="80"/>
      <c r="AA197" s="80"/>
      <c r="AB197" s="80"/>
      <c r="AC197" s="80"/>
      <c r="AD197" s="80"/>
      <c r="AE197" s="80"/>
      <c r="AF197" s="80"/>
      <c r="AG197" s="80"/>
      <c r="AH197" s="80"/>
      <c r="AI197" s="80"/>
      <c r="AJ197" s="80"/>
      <c r="AK197" s="80"/>
      <c r="AL197" s="80"/>
      <c r="AM197" s="80"/>
      <c r="AN197" s="80"/>
      <c r="AO197" s="80"/>
      <c r="AP197" s="80"/>
      <c r="AQ197" s="80"/>
      <c r="AR197" s="80"/>
      <c r="AS197" s="80"/>
      <c r="AT197" s="80"/>
      <c r="AU197" s="80"/>
      <c r="AV197" s="80"/>
      <c r="AW197" s="80"/>
      <c r="AX197" s="80"/>
      <c r="AY197" s="80"/>
      <c r="AZ197" s="80"/>
      <c r="BA197" s="80"/>
      <c r="BB197" s="80"/>
      <c r="BC197" s="80"/>
      <c r="BD197" s="80"/>
      <c r="BE197" s="80"/>
      <c r="BF197" s="80"/>
      <c r="BG197" s="80"/>
      <c r="BH197" s="80"/>
      <c r="BI197" s="80"/>
      <c r="BJ197" s="80"/>
      <c r="BK197" s="80"/>
      <c r="BL197" s="80"/>
      <c r="BM197" s="80"/>
      <c r="BN197" s="80"/>
      <c r="BO197" s="80"/>
      <c r="BP197" s="80"/>
      <c r="BQ197" s="80"/>
      <c r="BR197" s="80"/>
      <c r="BS197" s="80"/>
      <c r="BT197" s="80"/>
      <c r="BU197" s="80"/>
      <c r="BV197" s="80"/>
      <c r="BW197" s="80"/>
      <c r="BX197" s="80"/>
      <c r="BY197" s="80"/>
      <c r="BZ197" s="80"/>
      <c r="CA197" s="80"/>
      <c r="CB197" s="80"/>
      <c r="CC197" s="80"/>
      <c r="CD197" s="80"/>
      <c r="CE197" s="80"/>
      <c r="CF197" s="80"/>
      <c r="CG197" s="80"/>
      <c r="CH197" s="80"/>
      <c r="CI197" s="80"/>
      <c r="CJ197" s="80"/>
      <c r="CK197" s="80"/>
      <c r="CL197" s="80"/>
      <c r="CM197" s="80"/>
      <c r="CN197" s="80"/>
      <c r="CO197" s="80"/>
      <c r="CP197" s="80"/>
      <c r="CQ197" s="80"/>
      <c r="CR197" s="80"/>
      <c r="CS197" s="80"/>
      <c r="CT197" s="80"/>
      <c r="CU197" s="80"/>
      <c r="CV197" s="80"/>
      <c r="CW197" s="80"/>
      <c r="CX197" s="80"/>
      <c r="CY197" s="80"/>
      <c r="CZ197" s="80"/>
      <c r="DA197" s="80"/>
      <c r="DB197" s="80"/>
      <c r="DC197" s="80"/>
      <c r="DD197" s="80"/>
      <c r="DE197" s="80"/>
      <c r="DF197" s="80"/>
      <c r="DG197" s="80"/>
      <c r="DH197" s="80"/>
      <c r="DI197" s="80"/>
      <c r="DJ197" s="80"/>
      <c r="DK197" s="80"/>
      <c r="DL197" s="80"/>
      <c r="DM197" s="80"/>
      <c r="DN197" s="80"/>
      <c r="DO197" s="80"/>
      <c r="DP197" s="80"/>
      <c r="DQ197" s="80"/>
      <c r="DR197" s="80"/>
      <c r="DS197" s="80"/>
      <c r="DT197" s="80"/>
      <c r="DU197" s="80"/>
      <c r="DV197" s="80"/>
      <c r="DW197" s="80"/>
      <c r="DX197" s="80"/>
      <c r="DY197" s="80"/>
      <c r="DZ197" s="80"/>
      <c r="EA197" s="80"/>
      <c r="EB197" s="80"/>
      <c r="EC197" s="80"/>
      <c r="ED197" s="80"/>
      <c r="EE197" s="80"/>
      <c r="EF197" s="80"/>
      <c r="EG197" s="80"/>
      <c r="EH197" s="80"/>
      <c r="EI197" s="80"/>
      <c r="EJ197" s="80"/>
      <c r="EK197" s="80"/>
      <c r="EL197" s="80"/>
      <c r="EM197" s="80"/>
      <c r="EN197" s="80"/>
      <c r="EO197" s="80"/>
      <c r="EP197" s="80"/>
      <c r="EQ197" s="80"/>
      <c r="ER197" s="80"/>
      <c r="ES197" s="80"/>
      <c r="ET197" s="80"/>
      <c r="EU197" s="80"/>
      <c r="EV197" s="80"/>
      <c r="EW197" s="80"/>
      <c r="EX197" s="80"/>
      <c r="EY197" s="80"/>
      <c r="EZ197" s="80"/>
      <c r="FA197" s="80"/>
      <c r="FB197" s="80"/>
      <c r="FC197" s="80"/>
      <c r="FD197" s="80"/>
      <c r="FE197" s="80"/>
      <c r="FF197" s="80"/>
      <c r="FG197" s="80"/>
      <c r="FH197" s="80"/>
      <c r="FI197" s="80"/>
      <c r="FJ197" s="80"/>
      <c r="FK197" s="80"/>
      <c r="FL197" s="80"/>
      <c r="FM197" s="80"/>
      <c r="FN197" s="80"/>
      <c r="FO197" s="80"/>
      <c r="FP197" s="80"/>
      <c r="FQ197" s="80"/>
      <c r="FR197" s="80"/>
      <c r="FS197" s="80"/>
      <c r="FT197" s="80"/>
      <c r="FU197" s="80"/>
      <c r="FV197" s="80"/>
      <c r="FW197" s="80"/>
      <c r="FX197" s="80"/>
      <c r="FY197" s="80"/>
      <c r="FZ197" s="80"/>
      <c r="GA197" s="80"/>
      <c r="GB197" s="80"/>
      <c r="GC197" s="80"/>
      <c r="GD197" s="80"/>
      <c r="GE197" s="80"/>
      <c r="GF197" s="80"/>
      <c r="GG197" s="80"/>
      <c r="GH197" s="80"/>
      <c r="GI197" s="80"/>
      <c r="GJ197" s="80"/>
      <c r="GK197" s="80"/>
      <c r="GL197" s="80"/>
      <c r="GM197" s="80"/>
      <c r="GN197" s="80"/>
      <c r="GO197" s="80"/>
      <c r="GP197" s="80"/>
      <c r="GQ197" s="80"/>
      <c r="GR197" s="80"/>
      <c r="GS197" s="80"/>
      <c r="GT197" s="80"/>
      <c r="GU197" s="80"/>
      <c r="GV197" s="80"/>
      <c r="GW197" s="80"/>
      <c r="GX197" s="80"/>
      <c r="GY197" s="80"/>
      <c r="GZ197" s="80"/>
      <c r="HA197" s="80"/>
      <c r="HB197" s="80"/>
      <c r="HC197" s="80"/>
      <c r="HD197" s="80"/>
      <c r="HE197" s="80"/>
      <c r="HF197" s="80"/>
      <c r="HG197" s="80"/>
      <c r="HH197" s="80"/>
      <c r="HI197" s="80"/>
      <c r="HJ197" s="80"/>
      <c r="HK197" s="80"/>
      <c r="HL197" s="80"/>
      <c r="HM197" s="80"/>
      <c r="HN197" s="80"/>
      <c r="HO197" s="80"/>
      <c r="HP197" s="80"/>
      <c r="HQ197" s="80"/>
      <c r="HR197" s="80"/>
      <c r="HS197" s="80"/>
      <c r="HT197" s="80"/>
      <c r="HU197" s="80"/>
    </row>
    <row r="198" spans="1:229" x14ac:dyDescent="0.25">
      <c r="A198" s="197"/>
      <c r="B198" s="203" t="s">
        <v>1781</v>
      </c>
      <c r="C198" s="779"/>
      <c r="D198" s="780"/>
      <c r="E198" s="824"/>
      <c r="F198" s="844"/>
      <c r="G198" s="779"/>
      <c r="H198" s="780"/>
      <c r="I198" s="824"/>
      <c r="J198" s="844"/>
      <c r="K198" s="779"/>
      <c r="L198" s="780"/>
      <c r="M198" s="824"/>
      <c r="N198" s="844"/>
      <c r="O198" s="777">
        <v>0.5</v>
      </c>
      <c r="P198" s="778">
        <f t="shared" si="21"/>
        <v>536.09378400000003</v>
      </c>
      <c r="Q198" s="823">
        <v>0.5</v>
      </c>
      <c r="R198" s="778">
        <f t="shared" si="21"/>
        <v>536.09378400000003</v>
      </c>
      <c r="S198" s="80"/>
      <c r="T198" s="199">
        <f>'ANALÍTICO ELÉTRICO E LÓGICO'!P1079</f>
        <v>1072.1875680000001</v>
      </c>
      <c r="U198" s="89"/>
      <c r="V198" s="80"/>
      <c r="W198" s="80"/>
      <c r="X198" s="80"/>
      <c r="Y198" s="80"/>
      <c r="Z198" s="80"/>
      <c r="AA198" s="80"/>
      <c r="AB198" s="80"/>
      <c r="AC198" s="80"/>
      <c r="AD198" s="80"/>
      <c r="AE198" s="80"/>
      <c r="AF198" s="80"/>
      <c r="AG198" s="80"/>
      <c r="AH198" s="80"/>
      <c r="AI198" s="80"/>
      <c r="AJ198" s="80"/>
      <c r="AK198" s="80"/>
      <c r="AL198" s="80"/>
      <c r="AM198" s="80"/>
      <c r="AN198" s="80"/>
      <c r="AO198" s="80"/>
      <c r="AP198" s="80"/>
      <c r="AQ198" s="80"/>
      <c r="AR198" s="80"/>
      <c r="AS198" s="80"/>
      <c r="AT198" s="80"/>
      <c r="AU198" s="80"/>
      <c r="AV198" s="80"/>
      <c r="AW198" s="80"/>
      <c r="AX198" s="80"/>
      <c r="AY198" s="80"/>
      <c r="AZ198" s="80"/>
      <c r="BA198" s="80"/>
      <c r="BB198" s="80"/>
      <c r="BC198" s="80"/>
      <c r="BD198" s="80"/>
      <c r="BE198" s="80"/>
      <c r="BF198" s="80"/>
      <c r="BG198" s="80"/>
      <c r="BH198" s="80"/>
      <c r="BI198" s="80"/>
      <c r="BJ198" s="80"/>
      <c r="BK198" s="80"/>
      <c r="BL198" s="80"/>
      <c r="BM198" s="80"/>
      <c r="BN198" s="80"/>
      <c r="BO198" s="80"/>
      <c r="BP198" s="80"/>
      <c r="BQ198" s="80"/>
      <c r="BR198" s="80"/>
      <c r="BS198" s="80"/>
      <c r="BT198" s="80"/>
      <c r="BU198" s="80"/>
      <c r="BV198" s="80"/>
      <c r="BW198" s="80"/>
      <c r="BX198" s="80"/>
      <c r="BY198" s="80"/>
      <c r="BZ198" s="80"/>
      <c r="CA198" s="80"/>
      <c r="CB198" s="80"/>
      <c r="CC198" s="80"/>
      <c r="CD198" s="80"/>
      <c r="CE198" s="80"/>
      <c r="CF198" s="80"/>
      <c r="CG198" s="80"/>
      <c r="CH198" s="80"/>
      <c r="CI198" s="80"/>
      <c r="CJ198" s="80"/>
      <c r="CK198" s="80"/>
      <c r="CL198" s="80"/>
      <c r="CM198" s="80"/>
      <c r="CN198" s="80"/>
      <c r="CO198" s="80"/>
      <c r="CP198" s="80"/>
      <c r="CQ198" s="80"/>
      <c r="CR198" s="80"/>
      <c r="CS198" s="80"/>
      <c r="CT198" s="80"/>
      <c r="CU198" s="80"/>
      <c r="CV198" s="80"/>
      <c r="CW198" s="80"/>
      <c r="CX198" s="80"/>
      <c r="CY198" s="80"/>
      <c r="CZ198" s="80"/>
      <c r="DA198" s="80"/>
      <c r="DB198" s="80"/>
      <c r="DC198" s="80"/>
      <c r="DD198" s="80"/>
      <c r="DE198" s="80"/>
      <c r="DF198" s="80"/>
      <c r="DG198" s="80"/>
      <c r="DH198" s="80"/>
      <c r="DI198" s="80"/>
      <c r="DJ198" s="80"/>
      <c r="DK198" s="80"/>
      <c r="DL198" s="80"/>
      <c r="DM198" s="80"/>
      <c r="DN198" s="80"/>
      <c r="DO198" s="80"/>
      <c r="DP198" s="80"/>
      <c r="DQ198" s="80"/>
      <c r="DR198" s="80"/>
      <c r="DS198" s="80"/>
      <c r="DT198" s="80"/>
      <c r="DU198" s="80"/>
      <c r="DV198" s="80"/>
      <c r="DW198" s="80"/>
      <c r="DX198" s="80"/>
      <c r="DY198" s="80"/>
      <c r="DZ198" s="80"/>
      <c r="EA198" s="80"/>
      <c r="EB198" s="80"/>
      <c r="EC198" s="80"/>
      <c r="ED198" s="80"/>
      <c r="EE198" s="80"/>
      <c r="EF198" s="80"/>
      <c r="EG198" s="80"/>
      <c r="EH198" s="80"/>
      <c r="EI198" s="80"/>
      <c r="EJ198" s="80"/>
      <c r="EK198" s="80"/>
      <c r="EL198" s="80"/>
      <c r="EM198" s="80"/>
      <c r="EN198" s="80"/>
      <c r="EO198" s="80"/>
      <c r="EP198" s="80"/>
      <c r="EQ198" s="80"/>
      <c r="ER198" s="80"/>
      <c r="ES198" s="80"/>
      <c r="ET198" s="80"/>
      <c r="EU198" s="80"/>
      <c r="EV198" s="80"/>
      <c r="EW198" s="80"/>
      <c r="EX198" s="80"/>
      <c r="EY198" s="80"/>
      <c r="EZ198" s="80"/>
      <c r="FA198" s="80"/>
      <c r="FB198" s="80"/>
      <c r="FC198" s="80"/>
      <c r="FD198" s="80"/>
      <c r="FE198" s="80"/>
      <c r="FF198" s="80"/>
      <c r="FG198" s="80"/>
      <c r="FH198" s="80"/>
      <c r="FI198" s="80"/>
      <c r="FJ198" s="80"/>
      <c r="FK198" s="80"/>
      <c r="FL198" s="80"/>
      <c r="FM198" s="80"/>
      <c r="FN198" s="80"/>
      <c r="FO198" s="80"/>
      <c r="FP198" s="80"/>
      <c r="FQ198" s="80"/>
      <c r="FR198" s="80"/>
      <c r="FS198" s="80"/>
      <c r="FT198" s="80"/>
      <c r="FU198" s="80"/>
      <c r="FV198" s="80"/>
      <c r="FW198" s="80"/>
      <c r="FX198" s="80"/>
      <c r="FY198" s="80"/>
      <c r="FZ198" s="80"/>
      <c r="GA198" s="80"/>
      <c r="GB198" s="80"/>
      <c r="GC198" s="80"/>
      <c r="GD198" s="80"/>
      <c r="GE198" s="80"/>
      <c r="GF198" s="80"/>
      <c r="GG198" s="80"/>
      <c r="GH198" s="80"/>
      <c r="GI198" s="80"/>
      <c r="GJ198" s="80"/>
      <c r="GK198" s="80"/>
      <c r="GL198" s="80"/>
      <c r="GM198" s="80"/>
      <c r="GN198" s="80"/>
      <c r="GO198" s="80"/>
      <c r="GP198" s="80"/>
      <c r="GQ198" s="80"/>
      <c r="GR198" s="80"/>
      <c r="GS198" s="80"/>
      <c r="GT198" s="80"/>
      <c r="GU198" s="80"/>
      <c r="GV198" s="80"/>
      <c r="GW198" s="80"/>
      <c r="GX198" s="80"/>
      <c r="GY198" s="80"/>
      <c r="GZ198" s="80"/>
      <c r="HA198" s="80"/>
      <c r="HB198" s="80"/>
      <c r="HC198" s="80"/>
      <c r="HD198" s="80"/>
      <c r="HE198" s="80"/>
      <c r="HF198" s="80"/>
      <c r="HG198" s="80"/>
      <c r="HH198" s="80"/>
      <c r="HI198" s="80"/>
      <c r="HJ198" s="80"/>
      <c r="HK198" s="80"/>
      <c r="HL198" s="80"/>
      <c r="HM198" s="80"/>
      <c r="HN198" s="80"/>
      <c r="HO198" s="80"/>
      <c r="HP198" s="80"/>
      <c r="HQ198" s="80"/>
      <c r="HR198" s="80"/>
      <c r="HS198" s="80"/>
      <c r="HT198" s="80"/>
      <c r="HU198" s="80"/>
    </row>
    <row r="199" spans="1:229" x14ac:dyDescent="0.25">
      <c r="A199" s="796"/>
      <c r="B199" s="811" t="s">
        <v>1792</v>
      </c>
      <c r="C199" s="797"/>
      <c r="D199" s="798"/>
      <c r="E199" s="826"/>
      <c r="F199" s="846"/>
      <c r="G199" s="797"/>
      <c r="H199" s="798"/>
      <c r="I199" s="826"/>
      <c r="J199" s="846"/>
      <c r="K199" s="781">
        <v>0.2</v>
      </c>
      <c r="L199" s="782">
        <f t="shared" ref="L199:R199" si="23">K199*$T199</f>
        <v>7465.4064432000014</v>
      </c>
      <c r="M199" s="825">
        <v>0.3</v>
      </c>
      <c r="N199" s="845">
        <f t="shared" si="23"/>
        <v>11198.109664800002</v>
      </c>
      <c r="O199" s="781">
        <v>0.3</v>
      </c>
      <c r="P199" s="782">
        <f t="shared" si="23"/>
        <v>11198.109664800002</v>
      </c>
      <c r="Q199" s="825">
        <v>0.2</v>
      </c>
      <c r="R199" s="782">
        <f t="shared" si="23"/>
        <v>7465.4064432000014</v>
      </c>
      <c r="S199" s="80"/>
      <c r="T199" s="199">
        <f>'ANALÍTICO ELÉTRICO E LÓGICO'!P1094</f>
        <v>37327.032216000007</v>
      </c>
      <c r="U199" s="89"/>
      <c r="V199" s="80"/>
      <c r="W199" s="80"/>
      <c r="X199" s="80"/>
      <c r="Y199" s="80"/>
      <c r="Z199" s="80"/>
      <c r="AA199" s="80"/>
      <c r="AB199" s="80"/>
      <c r="AC199" s="80"/>
      <c r="AD199" s="80"/>
      <c r="AE199" s="80"/>
      <c r="AF199" s="80"/>
      <c r="AG199" s="80"/>
      <c r="AH199" s="80"/>
      <c r="AI199" s="80"/>
      <c r="AJ199" s="80"/>
      <c r="AK199" s="80"/>
      <c r="AL199" s="80"/>
      <c r="AM199" s="80"/>
      <c r="AN199" s="80"/>
      <c r="AO199" s="80"/>
      <c r="AP199" s="80"/>
      <c r="AQ199" s="80"/>
      <c r="AR199" s="80"/>
      <c r="AS199" s="80"/>
      <c r="AT199" s="80"/>
      <c r="AU199" s="80"/>
      <c r="AV199" s="80"/>
      <c r="AW199" s="80"/>
      <c r="AX199" s="80"/>
      <c r="AY199" s="80"/>
      <c r="AZ199" s="80"/>
      <c r="BA199" s="80"/>
      <c r="BB199" s="80"/>
      <c r="BC199" s="80"/>
      <c r="BD199" s="80"/>
      <c r="BE199" s="80"/>
      <c r="BF199" s="80"/>
      <c r="BG199" s="80"/>
      <c r="BH199" s="80"/>
      <c r="BI199" s="80"/>
      <c r="BJ199" s="80"/>
      <c r="BK199" s="80"/>
      <c r="BL199" s="80"/>
      <c r="BM199" s="80"/>
      <c r="BN199" s="80"/>
      <c r="BO199" s="80"/>
      <c r="BP199" s="80"/>
      <c r="BQ199" s="80"/>
      <c r="BR199" s="80"/>
      <c r="BS199" s="80"/>
      <c r="BT199" s="80"/>
      <c r="BU199" s="80"/>
      <c r="BV199" s="80"/>
      <c r="BW199" s="80"/>
      <c r="BX199" s="80"/>
      <c r="BY199" s="80"/>
      <c r="BZ199" s="80"/>
      <c r="CA199" s="80"/>
      <c r="CB199" s="80"/>
      <c r="CC199" s="80"/>
      <c r="CD199" s="80"/>
      <c r="CE199" s="80"/>
      <c r="CF199" s="80"/>
      <c r="CG199" s="80"/>
      <c r="CH199" s="80"/>
      <c r="CI199" s="80"/>
      <c r="CJ199" s="80"/>
      <c r="CK199" s="80"/>
      <c r="CL199" s="80"/>
      <c r="CM199" s="80"/>
      <c r="CN199" s="80"/>
      <c r="CO199" s="80"/>
      <c r="CP199" s="80"/>
      <c r="CQ199" s="80"/>
      <c r="CR199" s="80"/>
      <c r="CS199" s="80"/>
      <c r="CT199" s="80"/>
      <c r="CU199" s="80"/>
      <c r="CV199" s="80"/>
      <c r="CW199" s="80"/>
      <c r="CX199" s="80"/>
      <c r="CY199" s="80"/>
      <c r="CZ199" s="80"/>
      <c r="DA199" s="80"/>
      <c r="DB199" s="80"/>
      <c r="DC199" s="80"/>
      <c r="DD199" s="80"/>
      <c r="DE199" s="80"/>
      <c r="DF199" s="80"/>
      <c r="DG199" s="80"/>
      <c r="DH199" s="80"/>
      <c r="DI199" s="80"/>
      <c r="DJ199" s="80"/>
      <c r="DK199" s="80"/>
      <c r="DL199" s="80"/>
      <c r="DM199" s="80"/>
      <c r="DN199" s="80"/>
      <c r="DO199" s="80"/>
      <c r="DP199" s="80"/>
      <c r="DQ199" s="80"/>
      <c r="DR199" s="80"/>
      <c r="DS199" s="80"/>
      <c r="DT199" s="80"/>
      <c r="DU199" s="80"/>
      <c r="DV199" s="80"/>
      <c r="DW199" s="80"/>
      <c r="DX199" s="80"/>
      <c r="DY199" s="80"/>
      <c r="DZ199" s="80"/>
      <c r="EA199" s="80"/>
      <c r="EB199" s="80"/>
      <c r="EC199" s="80"/>
      <c r="ED199" s="80"/>
      <c r="EE199" s="80"/>
      <c r="EF199" s="80"/>
      <c r="EG199" s="80"/>
      <c r="EH199" s="80"/>
      <c r="EI199" s="80"/>
      <c r="EJ199" s="80"/>
      <c r="EK199" s="80"/>
      <c r="EL199" s="80"/>
      <c r="EM199" s="80"/>
      <c r="EN199" s="80"/>
      <c r="EO199" s="80"/>
      <c r="EP199" s="80"/>
      <c r="EQ199" s="80"/>
      <c r="ER199" s="80"/>
      <c r="ES199" s="80"/>
      <c r="ET199" s="80"/>
      <c r="EU199" s="80"/>
      <c r="EV199" s="80"/>
      <c r="EW199" s="80"/>
      <c r="EX199" s="80"/>
      <c r="EY199" s="80"/>
      <c r="EZ199" s="80"/>
      <c r="FA199" s="80"/>
      <c r="FB199" s="80"/>
      <c r="FC199" s="80"/>
      <c r="FD199" s="80"/>
      <c r="FE199" s="80"/>
      <c r="FF199" s="80"/>
      <c r="FG199" s="80"/>
      <c r="FH199" s="80"/>
      <c r="FI199" s="80"/>
      <c r="FJ199" s="80"/>
      <c r="FK199" s="80"/>
      <c r="FL199" s="80"/>
      <c r="FM199" s="80"/>
      <c r="FN199" s="80"/>
      <c r="FO199" s="80"/>
      <c r="FP199" s="80"/>
      <c r="FQ199" s="80"/>
      <c r="FR199" s="80"/>
      <c r="FS199" s="80"/>
      <c r="FT199" s="80"/>
      <c r="FU199" s="80"/>
      <c r="FV199" s="80"/>
      <c r="FW199" s="80"/>
      <c r="FX199" s="80"/>
      <c r="FY199" s="80"/>
      <c r="FZ199" s="80"/>
      <c r="GA199" s="80"/>
      <c r="GB199" s="80"/>
      <c r="GC199" s="80"/>
      <c r="GD199" s="80"/>
      <c r="GE199" s="80"/>
      <c r="GF199" s="80"/>
      <c r="GG199" s="80"/>
      <c r="GH199" s="80"/>
      <c r="GI199" s="80"/>
      <c r="GJ199" s="80"/>
      <c r="GK199" s="80"/>
      <c r="GL199" s="80"/>
      <c r="GM199" s="80"/>
      <c r="GN199" s="80"/>
      <c r="GO199" s="80"/>
      <c r="GP199" s="80"/>
      <c r="GQ199" s="80"/>
      <c r="GR199" s="80"/>
      <c r="GS199" s="80"/>
      <c r="GT199" s="80"/>
      <c r="GU199" s="80"/>
      <c r="GV199" s="80"/>
      <c r="GW199" s="80"/>
      <c r="GX199" s="80"/>
      <c r="GY199" s="80"/>
      <c r="GZ199" s="80"/>
      <c r="HA199" s="80"/>
      <c r="HB199" s="80"/>
      <c r="HC199" s="80"/>
      <c r="HD199" s="80"/>
      <c r="HE199" s="80"/>
      <c r="HF199" s="80"/>
      <c r="HG199" s="80"/>
      <c r="HH199" s="80"/>
      <c r="HI199" s="80"/>
      <c r="HJ199" s="80"/>
      <c r="HK199" s="80"/>
      <c r="HL199" s="80"/>
      <c r="HM199" s="80"/>
      <c r="HN199" s="80"/>
      <c r="HO199" s="80"/>
      <c r="HP199" s="80"/>
      <c r="HQ199" s="80"/>
      <c r="HR199" s="80"/>
      <c r="HS199" s="80"/>
      <c r="HT199" s="80"/>
      <c r="HU199" s="80"/>
    </row>
    <row r="200" spans="1:229" ht="15.75" thickBot="1" x14ac:dyDescent="0.3">
      <c r="D200" s="215"/>
      <c r="F200" s="215"/>
      <c r="H200" s="215"/>
      <c r="J200" s="215"/>
      <c r="L200" s="215"/>
      <c r="N200" s="215"/>
      <c r="P200" s="215"/>
      <c r="R200" s="215"/>
      <c r="T200" s="78"/>
      <c r="U200" s="77"/>
    </row>
    <row r="201" spans="1:229" s="39" customFormat="1" ht="19.5" thickBot="1" x14ac:dyDescent="0.35">
      <c r="A201" s="205"/>
      <c r="B201" s="206"/>
      <c r="C201" s="850">
        <f>D201/$T$201</f>
        <v>4.1834398054548416E-2</v>
      </c>
      <c r="D201" s="849">
        <f>SUM(D14:D200)</f>
        <v>59734.952672399995</v>
      </c>
      <c r="E201" s="850">
        <f>F201/$T$201</f>
        <v>5.9975547888571928E-2</v>
      </c>
      <c r="F201" s="849">
        <f>SUM(F14:F200)</f>
        <v>85638.533867599996</v>
      </c>
      <c r="G201" s="850">
        <f>H201/$T$201</f>
        <v>0.13674591444791603</v>
      </c>
      <c r="H201" s="849">
        <f>SUM(H14:H200)</f>
        <v>195258.23503040001</v>
      </c>
      <c r="I201" s="850">
        <f>J201/$T$201</f>
        <v>0.18031620836962883</v>
      </c>
      <c r="J201" s="849">
        <f>SUM(J14:J200)</f>
        <v>257471.85746479998</v>
      </c>
      <c r="K201" s="850">
        <f>L201/$T$201</f>
        <v>0.16593172089627375</v>
      </c>
      <c r="L201" s="849">
        <f>SUM(L14:L200)</f>
        <v>236932.37994399999</v>
      </c>
      <c r="M201" s="850">
        <f>N201/$T$201</f>
        <v>0.15400154519938578</v>
      </c>
      <c r="N201" s="849">
        <f>SUM(N14:N200)</f>
        <v>219897.39166240001</v>
      </c>
      <c r="O201" s="850">
        <f>P201/$T$201</f>
        <v>0.15997574001250564</v>
      </c>
      <c r="P201" s="849">
        <f>SUM(P14:P200)</f>
        <v>228427.8895544</v>
      </c>
      <c r="Q201" s="850">
        <f>R201/$T$201</f>
        <v>0.10121892513116969</v>
      </c>
      <c r="R201" s="849">
        <f>SUM(R14:R200)</f>
        <v>144529.57335199998</v>
      </c>
      <c r="T201" s="207">
        <f>SUM(T13:T200)/2</f>
        <v>1427890.8135479998</v>
      </c>
      <c r="U201" s="209"/>
    </row>
    <row r="202" spans="1:229" ht="18.75" x14ac:dyDescent="0.3">
      <c r="D202" s="215"/>
      <c r="F202" s="215"/>
      <c r="H202" s="215"/>
      <c r="J202" s="215"/>
      <c r="L202" s="215"/>
      <c r="N202" s="215"/>
      <c r="P202" s="215"/>
      <c r="R202" s="215"/>
      <c r="T202" s="543"/>
    </row>
    <row r="203" spans="1:229" x14ac:dyDescent="0.25">
      <c r="D203" s="215"/>
      <c r="F203" s="215"/>
      <c r="H203" s="215"/>
      <c r="J203" s="215"/>
      <c r="L203" s="215"/>
      <c r="N203" s="215"/>
      <c r="P203" s="215"/>
      <c r="R203" s="216"/>
    </row>
  </sheetData>
  <customSheetViews>
    <customSheetView guid="{A9E6D264-7B9C-4375-A0CF-466470785BB4}" showPageBreaks="1" fitToPage="1" printArea="1">
      <pane xSplit="2" topLeftCell="N1" activePane="topRight" state="frozen"/>
      <selection pane="topRight" activeCell="O130" sqref="O130:P131"/>
      <pageMargins left="0.51181102362204722" right="0.51181102362204722" top="0.78740157480314965" bottom="0.78740157480314965" header="0.31496062992125984" footer="0.31496062992125984"/>
      <pageSetup paperSize="9" scale="55" fitToHeight="20" orientation="landscape" r:id="rId1"/>
    </customSheetView>
    <customSheetView guid="{DD765DCE-E655-456A-9D24-4450FE20736A}" showPageBreaks="1" fitToPage="1" printArea="1" topLeftCell="A127">
      <pane xSplit="2" topLeftCell="N1" activePane="topRight" state="frozen"/>
      <selection pane="topRight" activeCell="Z141" sqref="Z141"/>
      <pageMargins left="0.51181102362204722" right="0.51181102362204722" top="0.78740157480314965" bottom="0.78740157480314965" header="0.31496062992125984" footer="0.31496062992125984"/>
      <pageSetup paperSize="9" scale="55" fitToHeight="20" orientation="landscape" r:id="rId2"/>
    </customSheetView>
    <customSheetView guid="{085E57EC-FCE4-472B-96BD-85A48C0D7EC5}" fitToPage="1" showRuler="0" topLeftCell="A16">
      <pane xSplit="2" topLeftCell="L1" activePane="topRight" state="frozen"/>
      <selection pane="topRight" activeCell="W22" sqref="W22"/>
      <pageMargins left="0.51181102362204722" right="0.51181102362204722" top="0.78740157480314965" bottom="0.78740157480314965" header="0.31496062992125984" footer="0.31496062992125984"/>
      <pageSetup paperSize="9" scale="56" fitToHeight="20" orientation="landscape" r:id="rId3"/>
      <headerFooter alignWithMargins="0"/>
    </customSheetView>
    <customSheetView guid="{64A379BA-3141-462E-A550-7507503698AB}" fitToPage="1" topLeftCell="A16">
      <pane xSplit="2" topLeftCell="L1" activePane="topRight" state="frozen"/>
      <selection pane="topRight" activeCell="W22" sqref="W22"/>
      <pageMargins left="0.51181102362204722" right="0.51181102362204722" top="0.78740157480314965" bottom="0.78740157480314965" header="0.31496062992125984" footer="0.31496062992125984"/>
      <pageSetup paperSize="9" scale="56" fitToHeight="20" orientation="landscape" r:id="rId4"/>
    </customSheetView>
  </customSheetViews>
  <mergeCells count="10">
    <mergeCell ref="A1:U6"/>
    <mergeCell ref="C11:D11"/>
    <mergeCell ref="E11:F11"/>
    <mergeCell ref="G11:H11"/>
    <mergeCell ref="I11:J11"/>
    <mergeCell ref="K11:L11"/>
    <mergeCell ref="M11:N11"/>
    <mergeCell ref="O11:P11"/>
    <mergeCell ref="Q11:R11"/>
    <mergeCell ref="D9:J9"/>
  </mergeCells>
  <phoneticPr fontId="0" type="noConversion"/>
  <pageMargins left="0.51181102362204722" right="0.51181102362204722" top="0.78740157480314965" bottom="0.78740157480314965" header="0.31496062992125984" footer="0.31496062992125984"/>
  <pageSetup paperSize="9" scale="56" fitToHeight="20" orientation="landscape"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1155"/>
  <sheetViews>
    <sheetView topLeftCell="E1" workbookViewId="0">
      <selection activeCell="P4" sqref="P4"/>
    </sheetView>
  </sheetViews>
  <sheetFormatPr defaultRowHeight="12" x14ac:dyDescent="0.25"/>
  <cols>
    <col min="1" max="1" width="9.140625" style="600"/>
    <col min="2" max="2" width="12.28515625" style="773" bestFit="1" customWidth="1"/>
    <col min="3" max="3" width="6.85546875" style="773" bestFit="1" customWidth="1"/>
    <col min="4" max="4" width="50.7109375" style="609" customWidth="1"/>
    <col min="5" max="5" width="6" style="773" customWidth="1"/>
    <col min="6" max="6" width="6.5703125" style="600" customWidth="1"/>
    <col min="7" max="7" width="10" style="774" bestFit="1" customWidth="1"/>
    <col min="8" max="8" width="11" style="600" customWidth="1"/>
    <col min="9" max="9" width="10.7109375" style="600" customWidth="1"/>
    <col min="10" max="10" width="13" style="600" customWidth="1"/>
    <col min="11" max="12" width="10.7109375" style="600" customWidth="1"/>
    <col min="13" max="13" width="13.140625" style="600" bestFit="1" customWidth="1"/>
    <col min="14" max="16" width="10.7109375" style="600" customWidth="1"/>
    <col min="17" max="16384" width="9.140625" style="600"/>
  </cols>
  <sheetData>
    <row r="1" spans="1:16" ht="15.75" x14ac:dyDescent="0.25">
      <c r="A1" s="896" t="s">
        <v>1043</v>
      </c>
      <c r="B1" s="897"/>
      <c r="C1" s="897"/>
      <c r="D1" s="897"/>
      <c r="E1" s="897"/>
      <c r="F1" s="897"/>
      <c r="G1" s="897"/>
      <c r="H1" s="897"/>
      <c r="I1" s="897"/>
      <c r="J1" s="897"/>
      <c r="K1" s="897"/>
      <c r="L1" s="897"/>
      <c r="M1" s="897"/>
      <c r="N1" s="897"/>
      <c r="O1" s="897"/>
      <c r="P1" s="898"/>
    </row>
    <row r="2" spans="1:16" ht="15.75" x14ac:dyDescent="0.25">
      <c r="A2" s="899" t="s">
        <v>1044</v>
      </c>
      <c r="B2" s="900"/>
      <c r="C2" s="900"/>
      <c r="D2" s="900"/>
      <c r="E2" s="900"/>
      <c r="F2" s="900"/>
      <c r="G2" s="900"/>
      <c r="H2" s="900"/>
      <c r="I2" s="900"/>
      <c r="J2" s="900"/>
      <c r="K2" s="900"/>
      <c r="L2" s="900"/>
      <c r="M2" s="900"/>
      <c r="N2" s="900"/>
      <c r="O2" s="900"/>
      <c r="P2" s="901"/>
    </row>
    <row r="3" spans="1:16" ht="15.75" x14ac:dyDescent="0.25">
      <c r="A3" s="899" t="s">
        <v>1045</v>
      </c>
      <c r="B3" s="900"/>
      <c r="C3" s="900"/>
      <c r="D3" s="900"/>
      <c r="E3" s="900"/>
      <c r="F3" s="900"/>
      <c r="G3" s="900"/>
      <c r="H3" s="900"/>
      <c r="I3" s="900"/>
      <c r="J3" s="900"/>
      <c r="K3" s="900"/>
      <c r="L3" s="900"/>
      <c r="M3" s="900"/>
      <c r="N3" s="900"/>
      <c r="O3" s="900"/>
      <c r="P3" s="901"/>
    </row>
    <row r="4" spans="1:16" ht="15.75" x14ac:dyDescent="0.25">
      <c r="A4" s="601" t="s">
        <v>262</v>
      </c>
      <c r="B4" s="902" t="s">
        <v>1046</v>
      </c>
      <c r="C4" s="902"/>
      <c r="D4" s="902"/>
      <c r="E4" s="902"/>
      <c r="F4" s="902"/>
      <c r="G4" s="902"/>
      <c r="H4" s="902"/>
      <c r="I4" s="902"/>
      <c r="J4" s="902"/>
      <c r="K4" s="902"/>
      <c r="L4" s="902"/>
      <c r="M4" s="902"/>
      <c r="N4" s="902"/>
      <c r="O4" s="602" t="s">
        <v>1047</v>
      </c>
      <c r="P4" s="603">
        <f>ANALÍTICO!N7</f>
        <v>0.24560000000000001</v>
      </c>
    </row>
    <row r="5" spans="1:16" ht="15.75" x14ac:dyDescent="0.25">
      <c r="A5" s="604" t="s">
        <v>265</v>
      </c>
      <c r="B5" s="903" t="s">
        <v>1048</v>
      </c>
      <c r="C5" s="903"/>
      <c r="D5" s="903"/>
      <c r="E5" s="903"/>
      <c r="F5" s="903"/>
      <c r="G5" s="903"/>
      <c r="H5" s="903"/>
      <c r="I5" s="903"/>
      <c r="J5" s="903"/>
      <c r="K5" s="903"/>
      <c r="L5" s="903"/>
      <c r="M5" s="903"/>
      <c r="N5" s="903"/>
      <c r="O5" s="605" t="s">
        <v>1049</v>
      </c>
      <c r="P5" s="790">
        <f>ANALÍTICO!N8</f>
        <v>0</v>
      </c>
    </row>
    <row r="6" spans="1:16" ht="15.75" x14ac:dyDescent="0.25">
      <c r="A6" s="606" t="s">
        <v>261</v>
      </c>
      <c r="B6" s="894">
        <v>41852</v>
      </c>
      <c r="C6" s="895"/>
      <c r="D6" s="895"/>
      <c r="E6" s="895"/>
      <c r="F6" s="895"/>
      <c r="G6" s="895"/>
      <c r="H6" s="895"/>
      <c r="I6" s="895"/>
      <c r="J6" s="895"/>
      <c r="K6" s="895"/>
      <c r="L6" s="895"/>
      <c r="M6" s="895"/>
      <c r="N6" s="895"/>
      <c r="O6" s="607"/>
      <c r="P6" s="608"/>
    </row>
    <row r="8" spans="1:16" s="609" customFormat="1" x14ac:dyDescent="0.25">
      <c r="A8" s="904" t="s">
        <v>1050</v>
      </c>
      <c r="B8" s="904" t="s">
        <v>1051</v>
      </c>
      <c r="C8" s="904" t="s">
        <v>1052</v>
      </c>
      <c r="D8" s="904" t="s">
        <v>1053</v>
      </c>
      <c r="E8" s="904" t="s">
        <v>1054</v>
      </c>
      <c r="F8" s="904" t="s">
        <v>1055</v>
      </c>
      <c r="G8" s="906" t="s">
        <v>1056</v>
      </c>
      <c r="H8" s="904" t="s">
        <v>1057</v>
      </c>
      <c r="I8" s="908" t="s">
        <v>1058</v>
      </c>
      <c r="J8" s="908"/>
      <c r="K8" s="908"/>
      <c r="L8" s="908" t="s">
        <v>1059</v>
      </c>
      <c r="M8" s="908"/>
      <c r="N8" s="908"/>
      <c r="O8" s="904" t="s">
        <v>1047</v>
      </c>
      <c r="P8" s="904" t="s">
        <v>1060</v>
      </c>
    </row>
    <row r="9" spans="1:16" s="609" customFormat="1" x14ac:dyDescent="0.25">
      <c r="A9" s="905"/>
      <c r="B9" s="905"/>
      <c r="C9" s="905"/>
      <c r="D9" s="905"/>
      <c r="E9" s="905"/>
      <c r="F9" s="905"/>
      <c r="G9" s="907"/>
      <c r="H9" s="905"/>
      <c r="I9" s="610" t="s">
        <v>1061</v>
      </c>
      <c r="J9" s="610" t="s">
        <v>1062</v>
      </c>
      <c r="K9" s="610" t="s">
        <v>1063</v>
      </c>
      <c r="L9" s="610" t="s">
        <v>1061</v>
      </c>
      <c r="M9" s="610" t="s">
        <v>1062</v>
      </c>
      <c r="N9" s="610" t="s">
        <v>1063</v>
      </c>
      <c r="O9" s="905"/>
      <c r="P9" s="905"/>
    </row>
    <row r="10" spans="1:16" x14ac:dyDescent="0.25">
      <c r="A10" s="611"/>
      <c r="B10" s="611"/>
      <c r="C10" s="611"/>
      <c r="D10" s="612"/>
      <c r="E10" s="611"/>
      <c r="F10" s="613"/>
      <c r="G10" s="614"/>
      <c r="H10" s="613"/>
      <c r="I10" s="614"/>
      <c r="J10" s="614"/>
      <c r="K10" s="614"/>
      <c r="L10" s="614"/>
      <c r="M10" s="614"/>
      <c r="N10" s="614"/>
      <c r="O10" s="614"/>
      <c r="P10" s="614"/>
    </row>
    <row r="11" spans="1:16" s="618" customFormat="1" x14ac:dyDescent="0.25">
      <c r="A11" s="615"/>
      <c r="B11" s="615"/>
      <c r="C11" s="615">
        <v>19</v>
      </c>
      <c r="D11" s="616" t="s">
        <v>163</v>
      </c>
      <c r="E11" s="615"/>
      <c r="F11" s="616"/>
      <c r="G11" s="617"/>
      <c r="H11" s="616"/>
      <c r="I11" s="617"/>
      <c r="J11" s="617"/>
      <c r="K11" s="617"/>
      <c r="L11" s="617">
        <f>SUM(L12:L820)</f>
        <v>202085.67700000003</v>
      </c>
      <c r="M11" s="617">
        <f>SUM(M12:M820)</f>
        <v>109367.92799999996</v>
      </c>
      <c r="N11" s="617">
        <f>SUM(N12:N820)</f>
        <v>311453.60500000016</v>
      </c>
      <c r="O11" s="617">
        <f>SUM(O12:O820)</f>
        <v>76493.005387999976</v>
      </c>
      <c r="P11" s="617">
        <f>SUM(P12:P820)/2</f>
        <v>387946.61038800003</v>
      </c>
    </row>
    <row r="12" spans="1:16" x14ac:dyDescent="0.25">
      <c r="A12" s="611"/>
      <c r="B12" s="611"/>
      <c r="C12" s="611"/>
      <c r="D12" s="612"/>
      <c r="E12" s="611"/>
      <c r="F12" s="613"/>
      <c r="G12" s="614"/>
      <c r="H12" s="613"/>
      <c r="I12" s="614"/>
      <c r="J12" s="614"/>
      <c r="K12" s="614"/>
      <c r="L12" s="614"/>
      <c r="M12" s="614"/>
      <c r="N12" s="614"/>
      <c r="O12" s="614"/>
      <c r="P12" s="614"/>
    </row>
    <row r="13" spans="1:16" s="618" customFormat="1" x14ac:dyDescent="0.25">
      <c r="A13" s="615"/>
      <c r="B13" s="615"/>
      <c r="C13" s="615" t="s">
        <v>1064</v>
      </c>
      <c r="D13" s="616" t="s">
        <v>1065</v>
      </c>
      <c r="E13" s="615"/>
      <c r="F13" s="616"/>
      <c r="G13" s="617"/>
      <c r="H13" s="616"/>
      <c r="I13" s="617"/>
      <c r="J13" s="617"/>
      <c r="K13" s="617"/>
      <c r="L13" s="617"/>
      <c r="M13" s="617"/>
      <c r="N13" s="617"/>
      <c r="O13" s="617"/>
      <c r="P13" s="617">
        <f>SUM(P15:P40)</f>
        <v>5530.6446119999991</v>
      </c>
    </row>
    <row r="14" spans="1:16" x14ac:dyDescent="0.25">
      <c r="A14" s="611"/>
      <c r="B14" s="611"/>
      <c r="C14" s="611"/>
      <c r="D14" s="612"/>
      <c r="E14" s="611"/>
      <c r="F14" s="613"/>
      <c r="G14" s="614"/>
      <c r="H14" s="613"/>
      <c r="I14" s="614"/>
      <c r="J14" s="614"/>
      <c r="K14" s="614"/>
      <c r="L14" s="614"/>
      <c r="M14" s="614"/>
      <c r="N14" s="614"/>
      <c r="O14" s="614"/>
      <c r="P14" s="614"/>
    </row>
    <row r="15" spans="1:16" ht="24" x14ac:dyDescent="0.25">
      <c r="A15" s="619"/>
      <c r="B15" s="619"/>
      <c r="C15" s="619" t="s">
        <v>1066</v>
      </c>
      <c r="D15" s="620" t="s">
        <v>1067</v>
      </c>
      <c r="E15" s="619" t="s">
        <v>1068</v>
      </c>
      <c r="F15" s="621"/>
      <c r="G15" s="622"/>
      <c r="H15" s="621">
        <v>80</v>
      </c>
      <c r="I15" s="622">
        <f>SUM(I16:I17)</f>
        <v>0</v>
      </c>
      <c r="J15" s="622">
        <f>SUM(J16:J17)</f>
        <v>41.519999999999996</v>
      </c>
      <c r="K15" s="622">
        <f>I15+J15</f>
        <v>41.519999999999996</v>
      </c>
      <c r="L15" s="622">
        <f>H15*I15</f>
        <v>0</v>
      </c>
      <c r="M15" s="622">
        <f>H15*J15</f>
        <v>3321.5999999999995</v>
      </c>
      <c r="N15" s="622">
        <f>L15+M15</f>
        <v>3321.5999999999995</v>
      </c>
      <c r="O15" s="622">
        <f>N15*$P$4</f>
        <v>815.78495999999996</v>
      </c>
      <c r="P15" s="622">
        <f>N15+O15</f>
        <v>4137.3849599999994</v>
      </c>
    </row>
    <row r="16" spans="1:16" x14ac:dyDescent="0.25">
      <c r="A16" s="611" t="s">
        <v>277</v>
      </c>
      <c r="B16" s="611">
        <v>2436</v>
      </c>
      <c r="C16" s="611"/>
      <c r="D16" s="612" t="s">
        <v>1069</v>
      </c>
      <c r="E16" s="611" t="s">
        <v>229</v>
      </c>
      <c r="F16" s="613">
        <v>1</v>
      </c>
      <c r="G16" s="614">
        <v>12.57</v>
      </c>
      <c r="H16" s="613"/>
      <c r="I16" s="623"/>
      <c r="J16" s="614">
        <f>ROUND(F16*G16,2)</f>
        <v>12.57</v>
      </c>
      <c r="K16" s="614">
        <f t="shared" ref="K16:K25" si="0">I16+J16</f>
        <v>12.57</v>
      </c>
      <c r="L16" s="614"/>
      <c r="M16" s="614"/>
      <c r="N16" s="614"/>
      <c r="O16" s="614"/>
      <c r="P16" s="614"/>
    </row>
    <row r="17" spans="1:16" x14ac:dyDescent="0.25">
      <c r="A17" s="611" t="s">
        <v>277</v>
      </c>
      <c r="B17" s="611">
        <v>247</v>
      </c>
      <c r="C17" s="611"/>
      <c r="D17" s="612" t="s">
        <v>1070</v>
      </c>
      <c r="E17" s="611" t="s">
        <v>229</v>
      </c>
      <c r="F17" s="613">
        <v>3</v>
      </c>
      <c r="G17" s="614">
        <v>9.65</v>
      </c>
      <c r="H17" s="613"/>
      <c r="I17" s="614"/>
      <c r="J17" s="614">
        <f>ROUND(F17*G17,2)</f>
        <v>28.95</v>
      </c>
      <c r="K17" s="614">
        <f t="shared" si="0"/>
        <v>28.95</v>
      </c>
      <c r="L17" s="614"/>
      <c r="M17" s="614"/>
      <c r="N17" s="614"/>
      <c r="O17" s="614"/>
      <c r="P17" s="614"/>
    </row>
    <row r="18" spans="1:16" ht="24" x14ac:dyDescent="0.25">
      <c r="A18" s="619" t="s">
        <v>278</v>
      </c>
      <c r="B18" s="619" t="s">
        <v>1071</v>
      </c>
      <c r="C18" s="619" t="s">
        <v>1072</v>
      </c>
      <c r="D18" s="620" t="s">
        <v>1073</v>
      </c>
      <c r="E18" s="619" t="s">
        <v>1009</v>
      </c>
      <c r="F18" s="621"/>
      <c r="G18" s="622"/>
      <c r="H18" s="621">
        <v>4.5</v>
      </c>
      <c r="I18" s="622">
        <f>I19</f>
        <v>0</v>
      </c>
      <c r="J18" s="622">
        <f>J19</f>
        <v>35.68</v>
      </c>
      <c r="K18" s="622">
        <f t="shared" si="0"/>
        <v>35.68</v>
      </c>
      <c r="L18" s="622">
        <f>H18*I18</f>
        <v>0</v>
      </c>
      <c r="M18" s="622">
        <f>H18*J18</f>
        <v>160.56</v>
      </c>
      <c r="N18" s="622">
        <f>L18+M18</f>
        <v>160.56</v>
      </c>
      <c r="O18" s="622">
        <f>N18*$P$4</f>
        <v>39.433536000000004</v>
      </c>
      <c r="P18" s="622">
        <f>N18+O18</f>
        <v>199.99353600000001</v>
      </c>
    </row>
    <row r="19" spans="1:16" s="627" customFormat="1" x14ac:dyDescent="0.25">
      <c r="A19" s="624" t="s">
        <v>277</v>
      </c>
      <c r="B19" s="624">
        <v>6111</v>
      </c>
      <c r="C19" s="624"/>
      <c r="D19" s="625" t="s">
        <v>207</v>
      </c>
      <c r="E19" s="624" t="s">
        <v>229</v>
      </c>
      <c r="F19" s="626">
        <v>4</v>
      </c>
      <c r="G19" s="623">
        <v>8.92</v>
      </c>
      <c r="H19" s="626"/>
      <c r="I19" s="623">
        <v>0</v>
      </c>
      <c r="J19" s="623">
        <f>ROUND(F19*G19,2)</f>
        <v>35.68</v>
      </c>
      <c r="K19" s="614">
        <f t="shared" si="0"/>
        <v>35.68</v>
      </c>
      <c r="L19" s="623"/>
      <c r="M19" s="623"/>
      <c r="N19" s="623"/>
      <c r="O19" s="623"/>
      <c r="P19" s="623"/>
    </row>
    <row r="20" spans="1:16" x14ac:dyDescent="0.25">
      <c r="A20" s="619" t="s">
        <v>278</v>
      </c>
      <c r="B20" s="619" t="s">
        <v>1074</v>
      </c>
      <c r="C20" s="619" t="s">
        <v>1075</v>
      </c>
      <c r="D20" s="620" t="s">
        <v>1076</v>
      </c>
      <c r="E20" s="619"/>
      <c r="F20" s="621"/>
      <c r="G20" s="622"/>
      <c r="H20" s="621">
        <v>4.5</v>
      </c>
      <c r="I20" s="622">
        <f>I21</f>
        <v>0</v>
      </c>
      <c r="J20" s="622">
        <f>J21</f>
        <v>4.01</v>
      </c>
      <c r="K20" s="622">
        <f t="shared" si="0"/>
        <v>4.01</v>
      </c>
      <c r="L20" s="622">
        <f>H20*I20</f>
        <v>0</v>
      </c>
      <c r="M20" s="622">
        <f>H20*J20</f>
        <v>18.044999999999998</v>
      </c>
      <c r="N20" s="622">
        <f>L20+M20</f>
        <v>18.044999999999998</v>
      </c>
      <c r="O20" s="622">
        <f>N20*$P$4</f>
        <v>4.4318520000000001</v>
      </c>
      <c r="P20" s="622">
        <f>N20+O20</f>
        <v>22.476851999999997</v>
      </c>
    </row>
    <row r="21" spans="1:16" s="627" customFormat="1" x14ac:dyDescent="0.25">
      <c r="A21" s="624" t="s">
        <v>277</v>
      </c>
      <c r="B21" s="624">
        <v>6111</v>
      </c>
      <c r="C21" s="624"/>
      <c r="D21" s="625" t="s">
        <v>207</v>
      </c>
      <c r="E21" s="624" t="s">
        <v>229</v>
      </c>
      <c r="F21" s="626">
        <v>0.45</v>
      </c>
      <c r="G21" s="623">
        <v>8.92</v>
      </c>
      <c r="H21" s="626"/>
      <c r="I21" s="623">
        <v>0</v>
      </c>
      <c r="J21" s="623">
        <f>ROUND(F21*G21,2)</f>
        <v>4.01</v>
      </c>
      <c r="K21" s="614">
        <f t="shared" si="0"/>
        <v>4.01</v>
      </c>
      <c r="L21" s="623"/>
      <c r="M21" s="623"/>
      <c r="N21" s="623"/>
      <c r="O21" s="623"/>
      <c r="P21" s="623"/>
    </row>
    <row r="22" spans="1:16" x14ac:dyDescent="0.25">
      <c r="A22" s="619" t="s">
        <v>278</v>
      </c>
      <c r="B22" s="619" t="s">
        <v>1077</v>
      </c>
      <c r="C22" s="619" t="s">
        <v>1078</v>
      </c>
      <c r="D22" s="620" t="s">
        <v>1079</v>
      </c>
      <c r="E22" s="619" t="s">
        <v>253</v>
      </c>
      <c r="F22" s="621"/>
      <c r="G22" s="622"/>
      <c r="H22" s="621">
        <v>3</v>
      </c>
      <c r="I22" s="622">
        <f>SUM(I23:I24)</f>
        <v>0</v>
      </c>
      <c r="J22" s="622">
        <f>SUM(J23:J24)</f>
        <v>13.55</v>
      </c>
      <c r="K22" s="622">
        <f t="shared" si="0"/>
        <v>13.55</v>
      </c>
      <c r="L22" s="622">
        <f>H22*I22</f>
        <v>0</v>
      </c>
      <c r="M22" s="622">
        <f>H22*J22</f>
        <v>40.650000000000006</v>
      </c>
      <c r="N22" s="622">
        <f>L22+M22</f>
        <v>40.650000000000006</v>
      </c>
      <c r="O22" s="622">
        <f>N22*$P$4</f>
        <v>9.9836400000000012</v>
      </c>
      <c r="P22" s="622">
        <f>N22+O22</f>
        <v>50.633640000000007</v>
      </c>
    </row>
    <row r="23" spans="1:16" s="627" customFormat="1" x14ac:dyDescent="0.25">
      <c r="A23" s="624" t="s">
        <v>277</v>
      </c>
      <c r="B23" s="624">
        <v>6111</v>
      </c>
      <c r="C23" s="624"/>
      <c r="D23" s="625" t="s">
        <v>207</v>
      </c>
      <c r="E23" s="624" t="s">
        <v>229</v>
      </c>
      <c r="F23" s="626">
        <v>1</v>
      </c>
      <c r="G23" s="623">
        <v>8.92</v>
      </c>
      <c r="H23" s="626"/>
      <c r="I23" s="623">
        <v>0</v>
      </c>
      <c r="J23" s="623">
        <f>ROUND(F23*G23,2)</f>
        <v>8.92</v>
      </c>
      <c r="K23" s="614">
        <f t="shared" si="0"/>
        <v>8.92</v>
      </c>
      <c r="L23" s="623"/>
      <c r="M23" s="623"/>
      <c r="N23" s="623"/>
      <c r="O23" s="623"/>
      <c r="P23" s="623"/>
    </row>
    <row r="24" spans="1:16" s="627" customFormat="1" x14ac:dyDescent="0.25">
      <c r="A24" s="624" t="s">
        <v>277</v>
      </c>
      <c r="B24" s="624">
        <v>4759</v>
      </c>
      <c r="C24" s="624"/>
      <c r="D24" s="625" t="s">
        <v>1080</v>
      </c>
      <c r="E24" s="624" t="s">
        <v>229</v>
      </c>
      <c r="F24" s="626">
        <v>0.4</v>
      </c>
      <c r="G24" s="623">
        <v>11.58</v>
      </c>
      <c r="H24" s="626"/>
      <c r="I24" s="623">
        <v>0</v>
      </c>
      <c r="J24" s="623">
        <f>ROUND(F24*G24,2)</f>
        <v>4.63</v>
      </c>
      <c r="K24" s="614">
        <f t="shared" si="0"/>
        <v>4.63</v>
      </c>
      <c r="L24" s="623"/>
      <c r="M24" s="623"/>
      <c r="N24" s="623"/>
      <c r="O24" s="623"/>
      <c r="P24" s="623"/>
    </row>
    <row r="25" spans="1:16" ht="36" x14ac:dyDescent="0.25">
      <c r="A25" s="619"/>
      <c r="B25" s="619"/>
      <c r="C25" s="619" t="s">
        <v>1081</v>
      </c>
      <c r="D25" s="620" t="s">
        <v>1082</v>
      </c>
      <c r="E25" s="619" t="s">
        <v>1009</v>
      </c>
      <c r="F25" s="621"/>
      <c r="G25" s="622"/>
      <c r="H25" s="621">
        <v>1</v>
      </c>
      <c r="I25" s="622">
        <f>SUM(I26:I29)</f>
        <v>150.88</v>
      </c>
      <c r="J25" s="622">
        <f>SUM(J26:J29)</f>
        <v>18.86</v>
      </c>
      <c r="K25" s="622">
        <f t="shared" si="0"/>
        <v>169.74</v>
      </c>
      <c r="L25" s="622">
        <f>H25*I25</f>
        <v>150.88</v>
      </c>
      <c r="M25" s="622">
        <f>H25*J25</f>
        <v>18.86</v>
      </c>
      <c r="N25" s="622">
        <f>L25+M25</f>
        <v>169.74</v>
      </c>
      <c r="O25" s="622">
        <f>N25*$P$4</f>
        <v>41.688144000000001</v>
      </c>
      <c r="P25" s="622">
        <f>N25+O25</f>
        <v>211.428144</v>
      </c>
    </row>
    <row r="26" spans="1:16" s="627" customFormat="1" x14ac:dyDescent="0.25">
      <c r="A26" s="624" t="s">
        <v>278</v>
      </c>
      <c r="B26" s="624" t="s">
        <v>1083</v>
      </c>
      <c r="C26" s="624"/>
      <c r="D26" s="625" t="s">
        <v>1084</v>
      </c>
      <c r="E26" s="624" t="s">
        <v>1068</v>
      </c>
      <c r="F26" s="626">
        <v>7.4999999999999997E-2</v>
      </c>
      <c r="G26" s="623">
        <v>120</v>
      </c>
      <c r="H26" s="626"/>
      <c r="I26" s="623">
        <f>ROUND(F26*G26,2)</f>
        <v>9</v>
      </c>
      <c r="J26" s="623"/>
      <c r="K26" s="614"/>
      <c r="L26" s="623"/>
      <c r="M26" s="623"/>
      <c r="N26" s="623"/>
      <c r="O26" s="623"/>
      <c r="P26" s="623"/>
    </row>
    <row r="27" spans="1:16" s="627" customFormat="1" ht="24" x14ac:dyDescent="0.25">
      <c r="A27" s="624" t="s">
        <v>278</v>
      </c>
      <c r="B27" s="624" t="s">
        <v>1083</v>
      </c>
      <c r="C27" s="624"/>
      <c r="D27" s="625" t="s">
        <v>1085</v>
      </c>
      <c r="E27" s="624" t="s">
        <v>229</v>
      </c>
      <c r="F27" s="626">
        <v>5</v>
      </c>
      <c r="G27" s="623">
        <v>24.5</v>
      </c>
      <c r="H27" s="626"/>
      <c r="I27" s="623">
        <f t="shared" ref="I27:I28" si="1">ROUND(F27*G27,2)</f>
        <v>122.5</v>
      </c>
      <c r="J27" s="623"/>
      <c r="K27" s="614"/>
      <c r="L27" s="623"/>
      <c r="M27" s="623"/>
      <c r="N27" s="623"/>
      <c r="O27" s="623"/>
      <c r="P27" s="623"/>
    </row>
    <row r="28" spans="1:16" s="627" customFormat="1" ht="24" x14ac:dyDescent="0.25">
      <c r="A28" s="624" t="s">
        <v>278</v>
      </c>
      <c r="B28" s="624" t="s">
        <v>1083</v>
      </c>
      <c r="C28" s="624"/>
      <c r="D28" s="625" t="s">
        <v>1086</v>
      </c>
      <c r="E28" s="624" t="s">
        <v>229</v>
      </c>
      <c r="F28" s="626">
        <v>1.5</v>
      </c>
      <c r="G28" s="623">
        <v>12.92</v>
      </c>
      <c r="H28" s="626"/>
      <c r="I28" s="623">
        <f t="shared" si="1"/>
        <v>19.38</v>
      </c>
      <c r="J28" s="623"/>
      <c r="K28" s="614"/>
      <c r="L28" s="623"/>
      <c r="M28" s="623"/>
      <c r="N28" s="623"/>
      <c r="O28" s="623"/>
      <c r="P28" s="623"/>
    </row>
    <row r="29" spans="1:16" x14ac:dyDescent="0.25">
      <c r="A29" s="611" t="s">
        <v>277</v>
      </c>
      <c r="B29" s="611">
        <v>4750</v>
      </c>
      <c r="C29" s="611"/>
      <c r="D29" s="625" t="s">
        <v>243</v>
      </c>
      <c r="E29" s="611" t="s">
        <v>229</v>
      </c>
      <c r="F29" s="613">
        <v>1.5</v>
      </c>
      <c r="G29" s="614">
        <v>12.57</v>
      </c>
      <c r="H29" s="613"/>
      <c r="I29" s="614"/>
      <c r="J29" s="614">
        <f t="shared" ref="J29" si="2">ROUND(F29*G29,2)</f>
        <v>18.86</v>
      </c>
      <c r="K29" s="614">
        <f t="shared" ref="K29:K30" si="3">I29+J29</f>
        <v>18.86</v>
      </c>
      <c r="L29" s="614"/>
      <c r="M29" s="614"/>
      <c r="N29" s="614"/>
      <c r="O29" s="614"/>
      <c r="P29" s="614"/>
    </row>
    <row r="30" spans="1:16" x14ac:dyDescent="0.25">
      <c r="A30" s="619"/>
      <c r="B30" s="619"/>
      <c r="C30" s="619" t="s">
        <v>1087</v>
      </c>
      <c r="D30" s="620" t="s">
        <v>1088</v>
      </c>
      <c r="E30" s="619" t="s">
        <v>253</v>
      </c>
      <c r="F30" s="621"/>
      <c r="G30" s="622"/>
      <c r="H30" s="621">
        <v>5</v>
      </c>
      <c r="I30" s="622">
        <f>SUM(I31:I33)</f>
        <v>20.170000000000002</v>
      </c>
      <c r="J30" s="622">
        <f>SUM(J31:J33)</f>
        <v>27.78</v>
      </c>
      <c r="K30" s="622">
        <f t="shared" si="3"/>
        <v>47.95</v>
      </c>
      <c r="L30" s="622">
        <f>H30*I30</f>
        <v>100.85000000000001</v>
      </c>
      <c r="M30" s="622">
        <f>H30*J30</f>
        <v>138.9</v>
      </c>
      <c r="N30" s="622">
        <f>L30+M30</f>
        <v>239.75</v>
      </c>
      <c r="O30" s="622">
        <f>N30*$P$4</f>
        <v>58.882600000000004</v>
      </c>
      <c r="P30" s="622">
        <f>N30+O30</f>
        <v>298.63260000000002</v>
      </c>
    </row>
    <row r="31" spans="1:16" x14ac:dyDescent="0.25">
      <c r="A31" s="611" t="s">
        <v>278</v>
      </c>
      <c r="B31" s="611" t="s">
        <v>1089</v>
      </c>
      <c r="C31" s="611"/>
      <c r="D31" s="625" t="s">
        <v>1088</v>
      </c>
      <c r="E31" s="611" t="s">
        <v>253</v>
      </c>
      <c r="F31" s="613">
        <v>1</v>
      </c>
      <c r="G31" s="614">
        <v>20.170000000000002</v>
      </c>
      <c r="H31" s="613"/>
      <c r="I31" s="623">
        <f t="shared" ref="I31" si="4">ROUND(F31*G31,2)</f>
        <v>20.170000000000002</v>
      </c>
      <c r="J31" s="614"/>
      <c r="K31" s="614"/>
      <c r="L31" s="614"/>
      <c r="M31" s="614"/>
      <c r="N31" s="614"/>
      <c r="O31" s="614"/>
      <c r="P31" s="614"/>
    </row>
    <row r="32" spans="1:16" x14ac:dyDescent="0.25">
      <c r="A32" s="611" t="s">
        <v>277</v>
      </c>
      <c r="B32" s="611">
        <v>4750</v>
      </c>
      <c r="C32" s="611"/>
      <c r="D32" s="625" t="s">
        <v>243</v>
      </c>
      <c r="E32" s="611" t="s">
        <v>229</v>
      </c>
      <c r="F32" s="613">
        <v>1.5</v>
      </c>
      <c r="G32" s="614">
        <v>12.57</v>
      </c>
      <c r="H32" s="613"/>
      <c r="I32" s="614"/>
      <c r="J32" s="614">
        <f t="shared" ref="J32" si="5">ROUND(F32*G32,2)</f>
        <v>18.86</v>
      </c>
      <c r="K32" s="614">
        <f t="shared" ref="K32:K33" si="6">I32+J32</f>
        <v>18.86</v>
      </c>
      <c r="L32" s="614"/>
      <c r="M32" s="614"/>
      <c r="N32" s="614"/>
      <c r="O32" s="614"/>
      <c r="P32" s="614"/>
    </row>
    <row r="33" spans="1:16" s="627" customFormat="1" x14ac:dyDescent="0.25">
      <c r="A33" s="624" t="s">
        <v>277</v>
      </c>
      <c r="B33" s="624">
        <v>6111</v>
      </c>
      <c r="C33" s="624"/>
      <c r="D33" s="625" t="s">
        <v>207</v>
      </c>
      <c r="E33" s="624" t="s">
        <v>229</v>
      </c>
      <c r="F33" s="626">
        <v>1</v>
      </c>
      <c r="G33" s="623">
        <v>8.92</v>
      </c>
      <c r="H33" s="626"/>
      <c r="I33" s="623"/>
      <c r="J33" s="623">
        <f>ROUND(F33*G33,2)</f>
        <v>8.92</v>
      </c>
      <c r="K33" s="614">
        <f t="shared" si="6"/>
        <v>8.92</v>
      </c>
      <c r="L33" s="623"/>
      <c r="M33" s="623"/>
      <c r="N33" s="623"/>
      <c r="O33" s="623"/>
      <c r="P33" s="623"/>
    </row>
    <row r="34" spans="1:16" s="627" customFormat="1" x14ac:dyDescent="0.25">
      <c r="A34" s="624"/>
      <c r="B34" s="624"/>
      <c r="C34" s="624"/>
      <c r="D34" s="625"/>
      <c r="E34" s="624"/>
      <c r="F34" s="626"/>
      <c r="G34" s="623"/>
      <c r="H34" s="626"/>
      <c r="I34" s="623"/>
      <c r="J34" s="623"/>
      <c r="K34" s="614"/>
      <c r="L34" s="623"/>
      <c r="M34" s="623"/>
      <c r="N34" s="623"/>
      <c r="O34" s="623"/>
      <c r="P34" s="623"/>
    </row>
    <row r="35" spans="1:16" ht="48" x14ac:dyDescent="0.25">
      <c r="A35" s="619" t="s">
        <v>278</v>
      </c>
      <c r="B35" s="619" t="s">
        <v>1090</v>
      </c>
      <c r="C35" s="619" t="s">
        <v>1091</v>
      </c>
      <c r="D35" s="620" t="s">
        <v>1092</v>
      </c>
      <c r="E35" s="619" t="s">
        <v>248</v>
      </c>
      <c r="F35" s="621">
        <v>1</v>
      </c>
      <c r="G35" s="622">
        <v>28.3</v>
      </c>
      <c r="H35" s="621">
        <v>10</v>
      </c>
      <c r="I35" s="622">
        <f>ROUND(F35*G35,2)</f>
        <v>28.3</v>
      </c>
      <c r="J35" s="622">
        <v>0</v>
      </c>
      <c r="K35" s="622">
        <f t="shared" ref="K35" si="7">I35+J35</f>
        <v>28.3</v>
      </c>
      <c r="L35" s="622">
        <f>H35*I35</f>
        <v>283</v>
      </c>
      <c r="M35" s="622">
        <f>H35*J35</f>
        <v>0</v>
      </c>
      <c r="N35" s="622">
        <f>L35+M35</f>
        <v>283</v>
      </c>
      <c r="O35" s="622">
        <f>N35*$P$4</f>
        <v>69.504800000000003</v>
      </c>
      <c r="P35" s="622">
        <f>N35+O35</f>
        <v>352.50479999999999</v>
      </c>
    </row>
    <row r="36" spans="1:16" x14ac:dyDescent="0.25">
      <c r="A36" s="611"/>
      <c r="B36" s="611"/>
      <c r="C36" s="611"/>
      <c r="D36" s="612"/>
      <c r="E36" s="611"/>
      <c r="F36" s="613"/>
      <c r="G36" s="614"/>
      <c r="H36" s="613"/>
      <c r="I36" s="614"/>
      <c r="J36" s="614"/>
      <c r="K36" s="614"/>
      <c r="L36" s="614"/>
      <c r="M36" s="614"/>
      <c r="N36" s="614"/>
      <c r="O36" s="614"/>
      <c r="P36" s="614"/>
    </row>
    <row r="37" spans="1:16" ht="24" x14ac:dyDescent="0.25">
      <c r="A37" s="619"/>
      <c r="B37" s="619"/>
      <c r="C37" s="619" t="s">
        <v>1093</v>
      </c>
      <c r="D37" s="620" t="s">
        <v>1094</v>
      </c>
      <c r="E37" s="619" t="s">
        <v>229</v>
      </c>
      <c r="F37" s="621"/>
      <c r="G37" s="622"/>
      <c r="H37" s="621">
        <v>8</v>
      </c>
      <c r="I37" s="622">
        <f>SUM(I38:I39)</f>
        <v>0</v>
      </c>
      <c r="J37" s="622">
        <f>SUM(J38:J39)</f>
        <v>25.85</v>
      </c>
      <c r="K37" s="622">
        <f>I37+J37</f>
        <v>25.85</v>
      </c>
      <c r="L37" s="622">
        <f>H37*I37</f>
        <v>0</v>
      </c>
      <c r="M37" s="622">
        <f>H37*J37</f>
        <v>206.8</v>
      </c>
      <c r="N37" s="622">
        <f>L37+M37</f>
        <v>206.8</v>
      </c>
      <c r="O37" s="622">
        <f>N37*$P$4</f>
        <v>50.790080000000003</v>
      </c>
      <c r="P37" s="622">
        <f>N37+O37</f>
        <v>257.59008</v>
      </c>
    </row>
    <row r="38" spans="1:16" x14ac:dyDescent="0.25">
      <c r="A38" s="611" t="s">
        <v>277</v>
      </c>
      <c r="B38" s="611">
        <v>2439</v>
      </c>
      <c r="C38" s="611"/>
      <c r="D38" s="612" t="s">
        <v>878</v>
      </c>
      <c r="E38" s="611" t="s">
        <v>229</v>
      </c>
      <c r="F38" s="613">
        <v>1</v>
      </c>
      <c r="G38" s="614">
        <v>16.2</v>
      </c>
      <c r="H38" s="613"/>
      <c r="I38" s="614"/>
      <c r="J38" s="614">
        <f>ROUND(F38*G38,2)</f>
        <v>16.2</v>
      </c>
      <c r="K38" s="614">
        <f>I38+J38</f>
        <v>16.2</v>
      </c>
      <c r="L38" s="614"/>
      <c r="M38" s="614"/>
      <c r="N38" s="614"/>
      <c r="O38" s="614"/>
      <c r="P38" s="614"/>
    </row>
    <row r="39" spans="1:16" x14ac:dyDescent="0.25">
      <c r="A39" s="611" t="s">
        <v>277</v>
      </c>
      <c r="B39" s="611">
        <v>247</v>
      </c>
      <c r="C39" s="611"/>
      <c r="D39" s="612" t="s">
        <v>1070</v>
      </c>
      <c r="E39" s="611" t="s">
        <v>229</v>
      </c>
      <c r="F39" s="613">
        <v>1</v>
      </c>
      <c r="G39" s="614">
        <v>9.65</v>
      </c>
      <c r="H39" s="613"/>
      <c r="I39" s="614"/>
      <c r="J39" s="614">
        <f>ROUND(F39*G39,2)</f>
        <v>9.65</v>
      </c>
      <c r="K39" s="614">
        <f>I39+J39</f>
        <v>9.65</v>
      </c>
      <c r="L39" s="614"/>
      <c r="M39" s="614"/>
      <c r="N39" s="614"/>
      <c r="O39" s="614"/>
      <c r="P39" s="614"/>
    </row>
    <row r="40" spans="1:16" x14ac:dyDescent="0.25">
      <c r="A40" s="611"/>
      <c r="B40" s="611"/>
      <c r="C40" s="611"/>
      <c r="D40" s="612"/>
      <c r="E40" s="611"/>
      <c r="F40" s="613"/>
      <c r="G40" s="614"/>
      <c r="H40" s="613"/>
      <c r="I40" s="614"/>
      <c r="J40" s="614"/>
      <c r="K40" s="614"/>
      <c r="L40" s="614"/>
      <c r="M40" s="614"/>
      <c r="N40" s="614"/>
      <c r="O40" s="614"/>
      <c r="P40" s="614"/>
    </row>
    <row r="41" spans="1:16" x14ac:dyDescent="0.25">
      <c r="A41" s="619"/>
      <c r="B41" s="619"/>
      <c r="C41" s="615" t="s">
        <v>1095</v>
      </c>
      <c r="D41" s="628" t="s">
        <v>1096</v>
      </c>
      <c r="E41" s="619"/>
      <c r="F41" s="621"/>
      <c r="G41" s="622"/>
      <c r="H41" s="621"/>
      <c r="I41" s="622"/>
      <c r="J41" s="622"/>
      <c r="K41" s="622"/>
      <c r="L41" s="622"/>
      <c r="M41" s="622"/>
      <c r="N41" s="622"/>
      <c r="O41" s="622"/>
      <c r="P41" s="617">
        <f>SUM(P45:P234)</f>
        <v>74273.135040000008</v>
      </c>
    </row>
    <row r="42" spans="1:16" x14ac:dyDescent="0.25">
      <c r="A42" s="611"/>
      <c r="B42" s="611"/>
      <c r="C42" s="611"/>
      <c r="D42" s="612"/>
      <c r="E42" s="611"/>
      <c r="F42" s="613"/>
      <c r="G42" s="614"/>
      <c r="H42" s="613"/>
      <c r="I42" s="614"/>
      <c r="J42" s="614"/>
      <c r="K42" s="614"/>
      <c r="L42" s="614"/>
      <c r="M42" s="614"/>
      <c r="N42" s="614"/>
      <c r="O42" s="614"/>
      <c r="P42" s="614"/>
    </row>
    <row r="43" spans="1:16" x14ac:dyDescent="0.25">
      <c r="A43" s="611"/>
      <c r="B43" s="611"/>
      <c r="C43" s="611"/>
      <c r="D43" s="629" t="s">
        <v>1097</v>
      </c>
      <c r="E43" s="611"/>
      <c r="F43" s="613"/>
      <c r="G43" s="614"/>
      <c r="H43" s="613"/>
      <c r="I43" s="614"/>
      <c r="J43" s="614"/>
      <c r="K43" s="614"/>
      <c r="L43" s="614"/>
      <c r="M43" s="614"/>
      <c r="N43" s="614"/>
      <c r="O43" s="614"/>
      <c r="P43" s="614"/>
    </row>
    <row r="44" spans="1:16" x14ac:dyDescent="0.25">
      <c r="A44" s="611"/>
      <c r="B44" s="611"/>
      <c r="C44" s="611"/>
      <c r="D44" s="629"/>
      <c r="E44" s="611"/>
      <c r="F44" s="613"/>
      <c r="G44" s="614"/>
      <c r="H44" s="613"/>
      <c r="I44" s="614"/>
      <c r="J44" s="614"/>
      <c r="K44" s="614"/>
      <c r="L44" s="614"/>
      <c r="M44" s="614"/>
      <c r="N44" s="614"/>
      <c r="O44" s="614"/>
      <c r="P44" s="614"/>
    </row>
    <row r="45" spans="1:16" x14ac:dyDescent="0.25">
      <c r="A45" s="619"/>
      <c r="B45" s="619"/>
      <c r="C45" s="619" t="s">
        <v>1098</v>
      </c>
      <c r="D45" s="620" t="s">
        <v>1099</v>
      </c>
      <c r="E45" s="619"/>
      <c r="F45" s="621"/>
      <c r="G45" s="622"/>
      <c r="H45" s="621">
        <v>1</v>
      </c>
      <c r="I45" s="622">
        <f>SUM(I46:I52)</f>
        <v>108.27</v>
      </c>
      <c r="J45" s="622">
        <f>SUM(J46:J52)</f>
        <v>25.85</v>
      </c>
      <c r="K45" s="622">
        <f>I45+J45</f>
        <v>134.12</v>
      </c>
      <c r="L45" s="622">
        <f>H45*I45</f>
        <v>108.27</v>
      </c>
      <c r="M45" s="622">
        <f>H45*J45</f>
        <v>25.85</v>
      </c>
      <c r="N45" s="622">
        <f>L45+M45</f>
        <v>134.12</v>
      </c>
      <c r="O45" s="622">
        <f>N45*$P$4</f>
        <v>32.939872000000001</v>
      </c>
      <c r="P45" s="622">
        <f>N45+O45</f>
        <v>167.05987200000001</v>
      </c>
    </row>
    <row r="46" spans="1:16" s="627" customFormat="1" ht="24" x14ac:dyDescent="0.25">
      <c r="A46" s="624" t="s">
        <v>277</v>
      </c>
      <c r="B46" s="624">
        <v>34519</v>
      </c>
      <c r="C46" s="624"/>
      <c r="D46" s="625" t="s">
        <v>1100</v>
      </c>
      <c r="E46" s="624" t="s">
        <v>251</v>
      </c>
      <c r="F46" s="626">
        <v>1</v>
      </c>
      <c r="G46" s="623">
        <v>78.3</v>
      </c>
      <c r="H46" s="626"/>
      <c r="I46" s="623">
        <f>ROUND(F46*G46,2)</f>
        <v>78.3</v>
      </c>
      <c r="J46" s="623"/>
      <c r="K46" s="614">
        <f t="shared" ref="K46:K52" si="8">I46+J46</f>
        <v>78.3</v>
      </c>
      <c r="L46" s="623"/>
      <c r="M46" s="623"/>
      <c r="N46" s="623"/>
      <c r="O46" s="623"/>
      <c r="P46" s="623"/>
    </row>
    <row r="47" spans="1:16" s="627" customFormat="1" x14ac:dyDescent="0.25">
      <c r="A47" s="624" t="s">
        <v>277</v>
      </c>
      <c r="B47" s="624">
        <v>430</v>
      </c>
      <c r="C47" s="624"/>
      <c r="D47" s="625" t="s">
        <v>1101</v>
      </c>
      <c r="E47" s="624" t="s">
        <v>251</v>
      </c>
      <c r="F47" s="626">
        <v>2</v>
      </c>
      <c r="G47" s="623">
        <v>2.75</v>
      </c>
      <c r="H47" s="626"/>
      <c r="I47" s="623">
        <f t="shared" ref="I47:I50" si="9">ROUND(F47*G47,2)</f>
        <v>5.5</v>
      </c>
      <c r="J47" s="623"/>
      <c r="K47" s="614">
        <f t="shared" si="8"/>
        <v>5.5</v>
      </c>
      <c r="L47" s="623"/>
      <c r="M47" s="623"/>
      <c r="N47" s="623"/>
      <c r="O47" s="623"/>
      <c r="P47" s="623"/>
    </row>
    <row r="48" spans="1:16" s="627" customFormat="1" x14ac:dyDescent="0.25">
      <c r="A48" s="624" t="s">
        <v>277</v>
      </c>
      <c r="B48" s="624">
        <v>431</v>
      </c>
      <c r="C48" s="624"/>
      <c r="D48" s="625" t="s">
        <v>1102</v>
      </c>
      <c r="E48" s="624" t="s">
        <v>251</v>
      </c>
      <c r="F48" s="626">
        <v>1</v>
      </c>
      <c r="G48" s="623">
        <v>4.0199999999999996</v>
      </c>
      <c r="H48" s="626"/>
      <c r="I48" s="623">
        <f t="shared" si="9"/>
        <v>4.0199999999999996</v>
      </c>
      <c r="J48" s="623"/>
      <c r="K48" s="614">
        <f t="shared" si="8"/>
        <v>4.0199999999999996</v>
      </c>
      <c r="L48" s="623"/>
      <c r="M48" s="623"/>
      <c r="N48" s="623"/>
      <c r="O48" s="623"/>
      <c r="P48" s="623"/>
    </row>
    <row r="49" spans="1:16" s="627" customFormat="1" x14ac:dyDescent="0.25">
      <c r="A49" s="624" t="s">
        <v>277</v>
      </c>
      <c r="B49" s="624">
        <v>379</v>
      </c>
      <c r="C49" s="624"/>
      <c r="D49" s="625" t="s">
        <v>1103</v>
      </c>
      <c r="E49" s="624" t="s">
        <v>251</v>
      </c>
      <c r="F49" s="626">
        <v>5</v>
      </c>
      <c r="G49" s="623">
        <v>1.23</v>
      </c>
      <c r="H49" s="626"/>
      <c r="I49" s="623">
        <f t="shared" si="9"/>
        <v>6.15</v>
      </c>
      <c r="J49" s="623"/>
      <c r="K49" s="614">
        <f t="shared" si="8"/>
        <v>6.15</v>
      </c>
      <c r="L49" s="623"/>
      <c r="M49" s="623"/>
      <c r="N49" s="623"/>
      <c r="O49" s="623"/>
      <c r="P49" s="623"/>
    </row>
    <row r="50" spans="1:16" s="627" customFormat="1" x14ac:dyDescent="0.25">
      <c r="A50" s="624" t="s">
        <v>278</v>
      </c>
      <c r="B50" s="624" t="s">
        <v>1104</v>
      </c>
      <c r="C50" s="624"/>
      <c r="D50" s="625" t="s">
        <v>1105</v>
      </c>
      <c r="E50" s="624" t="s">
        <v>251</v>
      </c>
      <c r="F50" s="626">
        <v>2</v>
      </c>
      <c r="G50" s="623">
        <v>7.15</v>
      </c>
      <c r="H50" s="626"/>
      <c r="I50" s="623">
        <f t="shared" si="9"/>
        <v>14.3</v>
      </c>
      <c r="J50" s="623"/>
      <c r="K50" s="614">
        <f t="shared" si="8"/>
        <v>14.3</v>
      </c>
      <c r="L50" s="623"/>
      <c r="M50" s="623"/>
      <c r="N50" s="623"/>
      <c r="O50" s="623"/>
      <c r="P50" s="623"/>
    </row>
    <row r="51" spans="1:16" x14ac:dyDescent="0.25">
      <c r="A51" s="611" t="s">
        <v>277</v>
      </c>
      <c r="B51" s="611">
        <v>2439</v>
      </c>
      <c r="C51" s="611"/>
      <c r="D51" s="612" t="s">
        <v>878</v>
      </c>
      <c r="E51" s="611" t="s">
        <v>229</v>
      </c>
      <c r="F51" s="613">
        <v>1</v>
      </c>
      <c r="G51" s="614">
        <v>16.2</v>
      </c>
      <c r="H51" s="613"/>
      <c r="I51" s="614"/>
      <c r="J51" s="614">
        <f>ROUND(F51*G51,2)</f>
        <v>16.2</v>
      </c>
      <c r="K51" s="614">
        <f t="shared" si="8"/>
        <v>16.2</v>
      </c>
      <c r="L51" s="614"/>
      <c r="M51" s="614"/>
      <c r="N51" s="614"/>
      <c r="O51" s="614"/>
      <c r="P51" s="614"/>
    </row>
    <row r="52" spans="1:16" x14ac:dyDescent="0.25">
      <c r="A52" s="611" t="s">
        <v>277</v>
      </c>
      <c r="B52" s="611">
        <v>247</v>
      </c>
      <c r="C52" s="611"/>
      <c r="D52" s="612" t="s">
        <v>1070</v>
      </c>
      <c r="E52" s="611" t="s">
        <v>229</v>
      </c>
      <c r="F52" s="613">
        <v>1</v>
      </c>
      <c r="G52" s="614">
        <v>9.65</v>
      </c>
      <c r="H52" s="613"/>
      <c r="I52" s="614"/>
      <c r="J52" s="614">
        <f>ROUND(F52*G52,2)</f>
        <v>9.65</v>
      </c>
      <c r="K52" s="614">
        <f t="shared" si="8"/>
        <v>9.65</v>
      </c>
      <c r="L52" s="614"/>
      <c r="M52" s="614"/>
      <c r="N52" s="614"/>
      <c r="O52" s="614"/>
      <c r="P52" s="614"/>
    </row>
    <row r="53" spans="1:16" x14ac:dyDescent="0.25">
      <c r="A53" s="619"/>
      <c r="B53" s="619"/>
      <c r="C53" s="619" t="s">
        <v>1106</v>
      </c>
      <c r="D53" s="620" t="s">
        <v>1107</v>
      </c>
      <c r="E53" s="619"/>
      <c r="F53" s="621"/>
      <c r="G53" s="622"/>
      <c r="H53" s="621">
        <v>1</v>
      </c>
      <c r="I53" s="622">
        <f>SUM(I54:I57)</f>
        <v>53.4</v>
      </c>
      <c r="J53" s="622">
        <f>SUM(J54:J57)</f>
        <v>12.93</v>
      </c>
      <c r="K53" s="622">
        <f>I53+J53</f>
        <v>66.33</v>
      </c>
      <c r="L53" s="622">
        <f>H53*I53</f>
        <v>53.4</v>
      </c>
      <c r="M53" s="622">
        <f>H53*J53</f>
        <v>12.93</v>
      </c>
      <c r="N53" s="622">
        <f>L53+M53</f>
        <v>66.33</v>
      </c>
      <c r="O53" s="622">
        <f>N53*$P$4</f>
        <v>16.290648000000001</v>
      </c>
      <c r="P53" s="622">
        <f>N53+O53</f>
        <v>82.620648000000003</v>
      </c>
    </row>
    <row r="54" spans="1:16" x14ac:dyDescent="0.25">
      <c r="A54" s="611" t="s">
        <v>1108</v>
      </c>
      <c r="B54" s="611" t="s">
        <v>1109</v>
      </c>
      <c r="C54" s="611"/>
      <c r="D54" s="612" t="s">
        <v>1110</v>
      </c>
      <c r="E54" s="611" t="s">
        <v>251</v>
      </c>
      <c r="F54" s="613">
        <v>1</v>
      </c>
      <c r="G54" s="614">
        <v>42.9</v>
      </c>
      <c r="H54" s="613"/>
      <c r="I54" s="623">
        <f>ROUND(F54*G54,2)</f>
        <v>42.9</v>
      </c>
      <c r="J54" s="614"/>
      <c r="K54" s="614">
        <f t="shared" ref="K54:K57" si="10">I54+J54</f>
        <v>42.9</v>
      </c>
      <c r="L54" s="614"/>
      <c r="M54" s="614"/>
      <c r="N54" s="614"/>
      <c r="O54" s="614"/>
      <c r="P54" s="614"/>
    </row>
    <row r="55" spans="1:16" x14ac:dyDescent="0.25">
      <c r="A55" s="611" t="s">
        <v>1108</v>
      </c>
      <c r="B55" s="611" t="s">
        <v>1109</v>
      </c>
      <c r="C55" s="611"/>
      <c r="D55" s="612" t="s">
        <v>1111</v>
      </c>
      <c r="E55" s="611" t="s">
        <v>251</v>
      </c>
      <c r="F55" s="613">
        <v>1</v>
      </c>
      <c r="G55" s="614">
        <v>10.5</v>
      </c>
      <c r="H55" s="613"/>
      <c r="I55" s="623">
        <f>ROUND(F55*G55,2)</f>
        <v>10.5</v>
      </c>
      <c r="J55" s="614"/>
      <c r="K55" s="614">
        <f t="shared" si="10"/>
        <v>10.5</v>
      </c>
      <c r="L55" s="614"/>
      <c r="M55" s="614"/>
      <c r="N55" s="614"/>
      <c r="O55" s="614"/>
      <c r="P55" s="614"/>
    </row>
    <row r="56" spans="1:16" x14ac:dyDescent="0.25">
      <c r="A56" s="611" t="s">
        <v>277</v>
      </c>
      <c r="B56" s="611">
        <v>2439</v>
      </c>
      <c r="C56" s="611"/>
      <c r="D56" s="612" t="s">
        <v>878</v>
      </c>
      <c r="E56" s="611" t="s">
        <v>229</v>
      </c>
      <c r="F56" s="613">
        <v>0.5</v>
      </c>
      <c r="G56" s="614">
        <v>16.2</v>
      </c>
      <c r="H56" s="613"/>
      <c r="I56" s="614"/>
      <c r="J56" s="614">
        <f>ROUND(F56*G56,2)</f>
        <v>8.1</v>
      </c>
      <c r="K56" s="614">
        <f t="shared" si="10"/>
        <v>8.1</v>
      </c>
      <c r="L56" s="614"/>
      <c r="M56" s="614"/>
      <c r="N56" s="614"/>
      <c r="O56" s="614"/>
      <c r="P56" s="614"/>
    </row>
    <row r="57" spans="1:16" x14ac:dyDescent="0.25">
      <c r="A57" s="611" t="s">
        <v>277</v>
      </c>
      <c r="B57" s="611">
        <v>247</v>
      </c>
      <c r="C57" s="611"/>
      <c r="D57" s="612" t="s">
        <v>1070</v>
      </c>
      <c r="E57" s="611" t="s">
        <v>229</v>
      </c>
      <c r="F57" s="613">
        <v>0.5</v>
      </c>
      <c r="G57" s="614">
        <v>9.65</v>
      </c>
      <c r="H57" s="613"/>
      <c r="I57" s="614"/>
      <c r="J57" s="614">
        <f>ROUND(F57*G57,2)</f>
        <v>4.83</v>
      </c>
      <c r="K57" s="614">
        <f t="shared" si="10"/>
        <v>4.83</v>
      </c>
      <c r="L57" s="614"/>
      <c r="M57" s="614"/>
      <c r="N57" s="614"/>
      <c r="O57" s="614"/>
      <c r="P57" s="614"/>
    </row>
    <row r="58" spans="1:16" x14ac:dyDescent="0.25">
      <c r="A58" s="619"/>
      <c r="B58" s="619"/>
      <c r="C58" s="619" t="s">
        <v>1112</v>
      </c>
      <c r="D58" s="620" t="s">
        <v>1113</v>
      </c>
      <c r="E58" s="619"/>
      <c r="F58" s="621"/>
      <c r="G58" s="622"/>
      <c r="H58" s="621">
        <v>4</v>
      </c>
      <c r="I58" s="622">
        <f>SUM(I59:I61)</f>
        <v>129.9</v>
      </c>
      <c r="J58" s="622">
        <f>SUM(J59:J61)</f>
        <v>51.7</v>
      </c>
      <c r="K58" s="622">
        <f>I58+J58</f>
        <v>181.60000000000002</v>
      </c>
      <c r="L58" s="622">
        <f>H58*I58</f>
        <v>519.6</v>
      </c>
      <c r="M58" s="622">
        <f>H58*J58</f>
        <v>206.8</v>
      </c>
      <c r="N58" s="622">
        <f>L58+M58</f>
        <v>726.40000000000009</v>
      </c>
      <c r="O58" s="622">
        <f>N58*$P$4</f>
        <v>178.40384000000003</v>
      </c>
      <c r="P58" s="622">
        <f>N58+O58</f>
        <v>904.80384000000015</v>
      </c>
    </row>
    <row r="59" spans="1:16" x14ac:dyDescent="0.25">
      <c r="A59" s="611" t="s">
        <v>1108</v>
      </c>
      <c r="B59" s="611" t="s">
        <v>1109</v>
      </c>
      <c r="C59" s="611"/>
      <c r="D59" s="612" t="s">
        <v>1114</v>
      </c>
      <c r="E59" s="611" t="s">
        <v>251</v>
      </c>
      <c r="F59" s="613">
        <v>1</v>
      </c>
      <c r="G59" s="614">
        <v>129.9</v>
      </c>
      <c r="H59" s="613"/>
      <c r="I59" s="623">
        <f>ROUND(F59*G59,2)</f>
        <v>129.9</v>
      </c>
      <c r="J59" s="614"/>
      <c r="K59" s="614">
        <f t="shared" ref="K59:K61" si="11">I59+J59</f>
        <v>129.9</v>
      </c>
      <c r="L59" s="614"/>
      <c r="M59" s="614"/>
      <c r="N59" s="614"/>
      <c r="O59" s="614"/>
      <c r="P59" s="614"/>
    </row>
    <row r="60" spans="1:16" x14ac:dyDescent="0.25">
      <c r="A60" s="611" t="s">
        <v>277</v>
      </c>
      <c r="B60" s="611">
        <v>2439</v>
      </c>
      <c r="C60" s="611"/>
      <c r="D60" s="612" t="s">
        <v>878</v>
      </c>
      <c r="E60" s="611" t="s">
        <v>229</v>
      </c>
      <c r="F60" s="613">
        <v>2</v>
      </c>
      <c r="G60" s="614">
        <v>16.2</v>
      </c>
      <c r="H60" s="613"/>
      <c r="I60" s="614"/>
      <c r="J60" s="614">
        <f>ROUND(F60*G60,2)</f>
        <v>32.4</v>
      </c>
      <c r="K60" s="614">
        <f t="shared" si="11"/>
        <v>32.4</v>
      </c>
      <c r="L60" s="614"/>
      <c r="M60" s="614"/>
      <c r="N60" s="614"/>
      <c r="O60" s="614"/>
      <c r="P60" s="614"/>
    </row>
    <row r="61" spans="1:16" x14ac:dyDescent="0.25">
      <c r="A61" s="611" t="s">
        <v>277</v>
      </c>
      <c r="B61" s="611">
        <v>247</v>
      </c>
      <c r="C61" s="611"/>
      <c r="D61" s="612" t="s">
        <v>1070</v>
      </c>
      <c r="E61" s="611" t="s">
        <v>229</v>
      </c>
      <c r="F61" s="613">
        <v>2</v>
      </c>
      <c r="G61" s="614">
        <v>9.65</v>
      </c>
      <c r="H61" s="613"/>
      <c r="I61" s="614"/>
      <c r="J61" s="614">
        <f>ROUND(F61*G61,2)</f>
        <v>19.3</v>
      </c>
      <c r="K61" s="614">
        <f t="shared" si="11"/>
        <v>19.3</v>
      </c>
      <c r="L61" s="614"/>
      <c r="M61" s="614"/>
      <c r="N61" s="614"/>
      <c r="O61" s="614"/>
      <c r="P61" s="614"/>
    </row>
    <row r="62" spans="1:16" x14ac:dyDescent="0.25">
      <c r="A62" s="619"/>
      <c r="B62" s="619"/>
      <c r="C62" s="619" t="s">
        <v>1115</v>
      </c>
      <c r="D62" s="620" t="s">
        <v>1116</v>
      </c>
      <c r="E62" s="619"/>
      <c r="F62" s="621"/>
      <c r="G62" s="622"/>
      <c r="H62" s="621">
        <v>3</v>
      </c>
      <c r="I62" s="622">
        <f>SUM(I63:I65)</f>
        <v>139</v>
      </c>
      <c r="J62" s="622">
        <f>SUM(J63:J65)</f>
        <v>25.85</v>
      </c>
      <c r="K62" s="622">
        <f>I62+J62</f>
        <v>164.85</v>
      </c>
      <c r="L62" s="622">
        <f>H62*I62</f>
        <v>417</v>
      </c>
      <c r="M62" s="622">
        <f>H62*J62</f>
        <v>77.550000000000011</v>
      </c>
      <c r="N62" s="622">
        <f>L62+M62</f>
        <v>494.55</v>
      </c>
      <c r="O62" s="622">
        <f>N62*$P$4</f>
        <v>121.46148000000001</v>
      </c>
      <c r="P62" s="622">
        <f>N62+O62</f>
        <v>616.01148000000001</v>
      </c>
    </row>
    <row r="63" spans="1:16" x14ac:dyDescent="0.25">
      <c r="A63" s="611" t="s">
        <v>1108</v>
      </c>
      <c r="B63" s="611" t="s">
        <v>1109</v>
      </c>
      <c r="C63" s="611"/>
      <c r="D63" s="612" t="s">
        <v>1117</v>
      </c>
      <c r="E63" s="611" t="s">
        <v>251</v>
      </c>
      <c r="F63" s="613">
        <v>1</v>
      </c>
      <c r="G63" s="614">
        <v>139</v>
      </c>
      <c r="H63" s="613"/>
      <c r="I63" s="623">
        <f>ROUND(F63*G63,2)</f>
        <v>139</v>
      </c>
      <c r="J63" s="614"/>
      <c r="K63" s="614">
        <f t="shared" ref="K63:K65" si="12">I63+J63</f>
        <v>139</v>
      </c>
      <c r="L63" s="614"/>
      <c r="M63" s="614"/>
      <c r="N63" s="614"/>
      <c r="O63" s="614"/>
      <c r="P63" s="614"/>
    </row>
    <row r="64" spans="1:16" x14ac:dyDescent="0.25">
      <c r="A64" s="611" t="s">
        <v>277</v>
      </c>
      <c r="B64" s="611">
        <v>2439</v>
      </c>
      <c r="C64" s="611"/>
      <c r="D64" s="612" t="s">
        <v>878</v>
      </c>
      <c r="E64" s="611" t="s">
        <v>229</v>
      </c>
      <c r="F64" s="613">
        <v>1</v>
      </c>
      <c r="G64" s="614">
        <v>16.2</v>
      </c>
      <c r="H64" s="613"/>
      <c r="I64" s="614"/>
      <c r="J64" s="614">
        <f>ROUND(F64*G64,2)</f>
        <v>16.2</v>
      </c>
      <c r="K64" s="614">
        <f t="shared" si="12"/>
        <v>16.2</v>
      </c>
      <c r="L64" s="614"/>
      <c r="M64" s="614"/>
      <c r="N64" s="614"/>
      <c r="O64" s="614"/>
      <c r="P64" s="614"/>
    </row>
    <row r="65" spans="1:16" x14ac:dyDescent="0.25">
      <c r="A65" s="611" t="s">
        <v>277</v>
      </c>
      <c r="B65" s="611">
        <v>247</v>
      </c>
      <c r="C65" s="611"/>
      <c r="D65" s="612" t="s">
        <v>1070</v>
      </c>
      <c r="E65" s="611" t="s">
        <v>229</v>
      </c>
      <c r="F65" s="613">
        <v>1</v>
      </c>
      <c r="G65" s="614">
        <v>9.65</v>
      </c>
      <c r="H65" s="613"/>
      <c r="I65" s="614"/>
      <c r="J65" s="614">
        <f>ROUND(F65*G65,2)</f>
        <v>9.65</v>
      </c>
      <c r="K65" s="614">
        <f t="shared" si="12"/>
        <v>9.65</v>
      </c>
      <c r="L65" s="614"/>
      <c r="M65" s="614"/>
      <c r="N65" s="614"/>
      <c r="O65" s="614"/>
      <c r="P65" s="614"/>
    </row>
    <row r="66" spans="1:16" x14ac:dyDescent="0.25">
      <c r="A66" s="619"/>
      <c r="B66" s="619"/>
      <c r="C66" s="619" t="s">
        <v>1118</v>
      </c>
      <c r="D66" s="620" t="s">
        <v>1119</v>
      </c>
      <c r="E66" s="619"/>
      <c r="F66" s="621"/>
      <c r="G66" s="622"/>
      <c r="H66" s="621">
        <v>107</v>
      </c>
      <c r="I66" s="622">
        <f>SUM(I67:I69)</f>
        <v>32.47</v>
      </c>
      <c r="J66" s="622">
        <f>SUM(J67:J69)</f>
        <v>16.440000000000001</v>
      </c>
      <c r="K66" s="622">
        <f>I66+J66</f>
        <v>48.91</v>
      </c>
      <c r="L66" s="622">
        <f>H66*I66</f>
        <v>3474.29</v>
      </c>
      <c r="M66" s="622">
        <f>H66*J66</f>
        <v>1759.0800000000002</v>
      </c>
      <c r="N66" s="622">
        <f>L66+M66</f>
        <v>5233.37</v>
      </c>
      <c r="O66" s="622">
        <f>N66*$P$4</f>
        <v>1285.3156719999999</v>
      </c>
      <c r="P66" s="622">
        <f>N66+O66</f>
        <v>6518.6856719999996</v>
      </c>
    </row>
    <row r="67" spans="1:16" x14ac:dyDescent="0.25">
      <c r="A67" s="611" t="s">
        <v>1108</v>
      </c>
      <c r="B67" s="611" t="s">
        <v>1109</v>
      </c>
      <c r="C67" s="611"/>
      <c r="D67" s="612" t="s">
        <v>1120</v>
      </c>
      <c r="E67" s="611" t="s">
        <v>248</v>
      </c>
      <c r="F67" s="613">
        <v>1</v>
      </c>
      <c r="G67" s="614">
        <v>32.47</v>
      </c>
      <c r="H67" s="613"/>
      <c r="I67" s="623">
        <f>ROUND(F67*G67,2)</f>
        <v>32.47</v>
      </c>
      <c r="J67" s="614"/>
      <c r="K67" s="614">
        <f t="shared" ref="K67:K69" si="13">I67+J67</f>
        <v>32.47</v>
      </c>
      <c r="L67" s="614"/>
      <c r="M67" s="614"/>
      <c r="N67" s="614"/>
      <c r="O67" s="614"/>
      <c r="P67" s="614"/>
    </row>
    <row r="68" spans="1:16" x14ac:dyDescent="0.25">
      <c r="A68" s="611" t="s">
        <v>277</v>
      </c>
      <c r="B68" s="611">
        <v>2436</v>
      </c>
      <c r="C68" s="611"/>
      <c r="D68" s="612" t="s">
        <v>1069</v>
      </c>
      <c r="E68" s="611" t="s">
        <v>229</v>
      </c>
      <c r="F68" s="613">
        <v>0.74</v>
      </c>
      <c r="G68" s="614">
        <v>12.57</v>
      </c>
      <c r="H68" s="613"/>
      <c r="I68" s="623"/>
      <c r="J68" s="614">
        <f>ROUND(F68*G68,2)</f>
        <v>9.3000000000000007</v>
      </c>
      <c r="K68" s="614">
        <f t="shared" si="13"/>
        <v>9.3000000000000007</v>
      </c>
      <c r="L68" s="614"/>
      <c r="M68" s="614"/>
      <c r="N68" s="614"/>
      <c r="O68" s="614"/>
      <c r="P68" s="614"/>
    </row>
    <row r="69" spans="1:16" x14ac:dyDescent="0.25">
      <c r="A69" s="611" t="s">
        <v>277</v>
      </c>
      <c r="B69" s="611">
        <v>247</v>
      </c>
      <c r="C69" s="611"/>
      <c r="D69" s="612" t="s">
        <v>1070</v>
      </c>
      <c r="E69" s="611" t="s">
        <v>229</v>
      </c>
      <c r="F69" s="613">
        <v>0.74</v>
      </c>
      <c r="G69" s="614">
        <v>9.65</v>
      </c>
      <c r="H69" s="613"/>
      <c r="I69" s="614"/>
      <c r="J69" s="614">
        <f>ROUND(F69*G69,2)</f>
        <v>7.14</v>
      </c>
      <c r="K69" s="614">
        <f t="shared" si="13"/>
        <v>7.14</v>
      </c>
      <c r="L69" s="614"/>
      <c r="M69" s="614"/>
      <c r="N69" s="614"/>
      <c r="O69" s="614"/>
      <c r="P69" s="614"/>
    </row>
    <row r="70" spans="1:16" x14ac:dyDescent="0.25">
      <c r="A70" s="619"/>
      <c r="B70" s="619"/>
      <c r="C70" s="619" t="s">
        <v>1121</v>
      </c>
      <c r="D70" s="620" t="s">
        <v>1122</v>
      </c>
      <c r="E70" s="619" t="s">
        <v>251</v>
      </c>
      <c r="F70" s="621"/>
      <c r="G70" s="622"/>
      <c r="H70" s="621">
        <v>1</v>
      </c>
      <c r="I70" s="622">
        <f>SUM(I71:I73)</f>
        <v>64</v>
      </c>
      <c r="J70" s="622">
        <f>SUM(J71:J73)</f>
        <v>11.120000000000001</v>
      </c>
      <c r="K70" s="622">
        <f>I70+J70</f>
        <v>75.12</v>
      </c>
      <c r="L70" s="622">
        <f>H70*I70</f>
        <v>64</v>
      </c>
      <c r="M70" s="622">
        <f>H70*J70</f>
        <v>11.120000000000001</v>
      </c>
      <c r="N70" s="622">
        <f>L70+M70</f>
        <v>75.12</v>
      </c>
      <c r="O70" s="622">
        <f>N70*$P$4</f>
        <v>18.449472000000004</v>
      </c>
      <c r="P70" s="622">
        <f>N70+O70</f>
        <v>93.569472000000005</v>
      </c>
    </row>
    <row r="71" spans="1:16" ht="24" x14ac:dyDescent="0.25">
      <c r="A71" s="611" t="s">
        <v>1108</v>
      </c>
      <c r="B71" s="611" t="s">
        <v>1109</v>
      </c>
      <c r="C71" s="611"/>
      <c r="D71" s="625" t="s">
        <v>1123</v>
      </c>
      <c r="E71" s="611" t="s">
        <v>251</v>
      </c>
      <c r="F71" s="613">
        <v>1</v>
      </c>
      <c r="G71" s="614">
        <v>64</v>
      </c>
      <c r="H71" s="613"/>
      <c r="I71" s="623">
        <f>ROUND(F71*G71,2)</f>
        <v>64</v>
      </c>
      <c r="J71" s="614"/>
      <c r="K71" s="614">
        <f t="shared" ref="K71:K73" si="14">I71+J71</f>
        <v>64</v>
      </c>
      <c r="L71" s="614"/>
      <c r="M71" s="614"/>
      <c r="N71" s="614"/>
      <c r="O71" s="614"/>
      <c r="P71" s="614"/>
    </row>
    <row r="72" spans="1:16" x14ac:dyDescent="0.25">
      <c r="A72" s="611" t="s">
        <v>277</v>
      </c>
      <c r="B72" s="611">
        <v>2436</v>
      </c>
      <c r="C72" s="611"/>
      <c r="D72" s="612" t="s">
        <v>1069</v>
      </c>
      <c r="E72" s="611" t="s">
        <v>229</v>
      </c>
      <c r="F72" s="613">
        <v>0.5</v>
      </c>
      <c r="G72" s="614">
        <v>12.57</v>
      </c>
      <c r="H72" s="613"/>
      <c r="I72" s="614"/>
      <c r="J72" s="614">
        <f>ROUND(F72*G72,2)</f>
        <v>6.29</v>
      </c>
      <c r="K72" s="614">
        <f t="shared" si="14"/>
        <v>6.29</v>
      </c>
      <c r="L72" s="614"/>
      <c r="M72" s="614"/>
      <c r="N72" s="614"/>
      <c r="O72" s="614"/>
      <c r="P72" s="614"/>
    </row>
    <row r="73" spans="1:16" x14ac:dyDescent="0.25">
      <c r="A73" s="611" t="s">
        <v>277</v>
      </c>
      <c r="B73" s="611">
        <v>247</v>
      </c>
      <c r="C73" s="611"/>
      <c r="D73" s="612" t="s">
        <v>1070</v>
      </c>
      <c r="E73" s="611" t="s">
        <v>229</v>
      </c>
      <c r="F73" s="613">
        <v>0.5</v>
      </c>
      <c r="G73" s="614">
        <v>9.65</v>
      </c>
      <c r="H73" s="613"/>
      <c r="I73" s="614"/>
      <c r="J73" s="614">
        <f>ROUND(F73*G73,2)</f>
        <v>4.83</v>
      </c>
      <c r="K73" s="614">
        <f t="shared" si="14"/>
        <v>4.83</v>
      </c>
      <c r="L73" s="614"/>
      <c r="M73" s="614"/>
      <c r="N73" s="614"/>
      <c r="O73" s="614"/>
      <c r="P73" s="614"/>
    </row>
    <row r="74" spans="1:16" x14ac:dyDescent="0.25">
      <c r="A74" s="619"/>
      <c r="B74" s="619"/>
      <c r="C74" s="619" t="s">
        <v>1124</v>
      </c>
      <c r="D74" s="620" t="s">
        <v>1125</v>
      </c>
      <c r="E74" s="619" t="s">
        <v>248</v>
      </c>
      <c r="F74" s="621"/>
      <c r="G74" s="622"/>
      <c r="H74" s="621">
        <v>15</v>
      </c>
      <c r="I74" s="622">
        <f>SUM(I75:I77)</f>
        <v>104.49</v>
      </c>
      <c r="J74" s="622">
        <f>SUM(J75:J77)</f>
        <v>13.33</v>
      </c>
      <c r="K74" s="622">
        <f>I74+J74</f>
        <v>117.82</v>
      </c>
      <c r="L74" s="622">
        <f>H74*I74</f>
        <v>1567.35</v>
      </c>
      <c r="M74" s="622">
        <f>H74*J74</f>
        <v>199.95</v>
      </c>
      <c r="N74" s="622">
        <f>L74+M74</f>
        <v>1767.3</v>
      </c>
      <c r="O74" s="622">
        <f>N74*$P$4</f>
        <v>434.04888</v>
      </c>
      <c r="P74" s="622">
        <f>N74+O74</f>
        <v>2201.34888</v>
      </c>
    </row>
    <row r="75" spans="1:16" ht="24" x14ac:dyDescent="0.25">
      <c r="A75" s="611" t="s">
        <v>278</v>
      </c>
      <c r="B75" s="611" t="s">
        <v>1126</v>
      </c>
      <c r="C75" s="611"/>
      <c r="D75" s="612" t="s">
        <v>1127</v>
      </c>
      <c r="E75" s="611" t="s">
        <v>248</v>
      </c>
      <c r="F75" s="613">
        <v>1</v>
      </c>
      <c r="G75" s="614">
        <v>104.49</v>
      </c>
      <c r="H75" s="613"/>
      <c r="I75" s="623">
        <f>ROUND(F75*G75,2)</f>
        <v>104.49</v>
      </c>
      <c r="J75" s="614"/>
      <c r="K75" s="614">
        <f t="shared" ref="K75:K77" si="15">I75+J75</f>
        <v>104.49</v>
      </c>
      <c r="L75" s="614"/>
      <c r="M75" s="614"/>
      <c r="N75" s="614"/>
      <c r="O75" s="614"/>
      <c r="P75" s="614"/>
    </row>
    <row r="76" spans="1:16" x14ac:dyDescent="0.25">
      <c r="A76" s="611" t="s">
        <v>277</v>
      </c>
      <c r="B76" s="611">
        <v>2436</v>
      </c>
      <c r="C76" s="611"/>
      <c r="D76" s="612" t="s">
        <v>1069</v>
      </c>
      <c r="E76" s="611" t="s">
        <v>229</v>
      </c>
      <c r="F76" s="613">
        <v>0.6</v>
      </c>
      <c r="G76" s="614">
        <v>12.57</v>
      </c>
      <c r="H76" s="613"/>
      <c r="I76" s="614"/>
      <c r="J76" s="614">
        <f>ROUND(F76*G76,2)</f>
        <v>7.54</v>
      </c>
      <c r="K76" s="614">
        <f t="shared" si="15"/>
        <v>7.54</v>
      </c>
      <c r="L76" s="614"/>
      <c r="M76" s="614"/>
      <c r="N76" s="614"/>
      <c r="O76" s="614"/>
      <c r="P76" s="614"/>
    </row>
    <row r="77" spans="1:16" x14ac:dyDescent="0.25">
      <c r="A77" s="611" t="s">
        <v>277</v>
      </c>
      <c r="B77" s="611">
        <v>247</v>
      </c>
      <c r="C77" s="611"/>
      <c r="D77" s="612" t="s">
        <v>1070</v>
      </c>
      <c r="E77" s="611" t="s">
        <v>229</v>
      </c>
      <c r="F77" s="613">
        <v>0.6</v>
      </c>
      <c r="G77" s="614">
        <v>9.65</v>
      </c>
      <c r="H77" s="613"/>
      <c r="I77" s="614"/>
      <c r="J77" s="614">
        <f>ROUND(F77*G77,2)</f>
        <v>5.79</v>
      </c>
      <c r="K77" s="614">
        <f t="shared" si="15"/>
        <v>5.79</v>
      </c>
      <c r="L77" s="614"/>
      <c r="M77" s="614"/>
      <c r="N77" s="614"/>
      <c r="O77" s="614"/>
      <c r="P77" s="614"/>
    </row>
    <row r="78" spans="1:16" ht="24" x14ac:dyDescent="0.25">
      <c r="A78" s="619"/>
      <c r="B78" s="619"/>
      <c r="C78" s="619" t="s">
        <v>1128</v>
      </c>
      <c r="D78" s="620" t="s">
        <v>1129</v>
      </c>
      <c r="E78" s="619" t="s">
        <v>251</v>
      </c>
      <c r="F78" s="621"/>
      <c r="G78" s="622"/>
      <c r="H78" s="621">
        <v>4</v>
      </c>
      <c r="I78" s="622">
        <f>SUM(I79:I81)</f>
        <v>50.45</v>
      </c>
      <c r="J78" s="622">
        <f>SUM(J79:J81)</f>
        <v>6.2200000000000006</v>
      </c>
      <c r="K78" s="622">
        <f>I78+J78</f>
        <v>56.67</v>
      </c>
      <c r="L78" s="622">
        <f>H78*I78</f>
        <v>201.8</v>
      </c>
      <c r="M78" s="622">
        <f>H78*J78</f>
        <v>24.880000000000003</v>
      </c>
      <c r="N78" s="622">
        <f>L78+M78</f>
        <v>226.68</v>
      </c>
      <c r="O78" s="622">
        <f>N78*$P$4</f>
        <v>55.672608000000004</v>
      </c>
      <c r="P78" s="622">
        <f>N78+O78</f>
        <v>282.35260800000003</v>
      </c>
    </row>
    <row r="79" spans="1:16" x14ac:dyDescent="0.25">
      <c r="A79" s="611" t="s">
        <v>278</v>
      </c>
      <c r="B79" s="611" t="s">
        <v>1130</v>
      </c>
      <c r="C79" s="611"/>
      <c r="D79" s="612" t="s">
        <v>1131</v>
      </c>
      <c r="E79" s="611" t="s">
        <v>251</v>
      </c>
      <c r="F79" s="613">
        <v>1</v>
      </c>
      <c r="G79" s="614">
        <v>50.45</v>
      </c>
      <c r="H79" s="613"/>
      <c r="I79" s="623">
        <f>ROUND(F79*G79,2)</f>
        <v>50.45</v>
      </c>
      <c r="J79" s="614"/>
      <c r="K79" s="614">
        <f t="shared" ref="K79:K81" si="16">I79+J79</f>
        <v>50.45</v>
      </c>
      <c r="L79" s="614"/>
      <c r="M79" s="614"/>
      <c r="N79" s="614"/>
      <c r="O79" s="614"/>
      <c r="P79" s="614"/>
    </row>
    <row r="80" spans="1:16" x14ac:dyDescent="0.25">
      <c r="A80" s="611" t="s">
        <v>277</v>
      </c>
      <c r="B80" s="611">
        <v>2436</v>
      </c>
      <c r="C80" s="611"/>
      <c r="D80" s="612" t="s">
        <v>1069</v>
      </c>
      <c r="E80" s="611" t="s">
        <v>229</v>
      </c>
      <c r="F80" s="613">
        <v>0.28000000000000003</v>
      </c>
      <c r="G80" s="614">
        <v>12.57</v>
      </c>
      <c r="H80" s="613"/>
      <c r="I80" s="614"/>
      <c r="J80" s="614">
        <f>ROUND(F80*G80,2)</f>
        <v>3.52</v>
      </c>
      <c r="K80" s="614">
        <f t="shared" si="16"/>
        <v>3.52</v>
      </c>
      <c r="L80" s="614"/>
      <c r="M80" s="614"/>
      <c r="N80" s="614"/>
      <c r="O80" s="614"/>
      <c r="P80" s="614"/>
    </row>
    <row r="81" spans="1:16" x14ac:dyDescent="0.25">
      <c r="A81" s="611" t="s">
        <v>277</v>
      </c>
      <c r="B81" s="611">
        <v>247</v>
      </c>
      <c r="C81" s="611"/>
      <c r="D81" s="612" t="s">
        <v>1070</v>
      </c>
      <c r="E81" s="611" t="s">
        <v>229</v>
      </c>
      <c r="F81" s="613">
        <v>0.28000000000000003</v>
      </c>
      <c r="G81" s="614">
        <v>9.65</v>
      </c>
      <c r="H81" s="613"/>
      <c r="I81" s="614"/>
      <c r="J81" s="614">
        <f>ROUND(F81*G81,2)</f>
        <v>2.7</v>
      </c>
      <c r="K81" s="614">
        <f t="shared" si="16"/>
        <v>2.7</v>
      </c>
      <c r="L81" s="614"/>
      <c r="M81" s="614"/>
      <c r="N81" s="614"/>
      <c r="O81" s="614"/>
      <c r="P81" s="614"/>
    </row>
    <row r="82" spans="1:16" ht="24" x14ac:dyDescent="0.25">
      <c r="A82" s="619"/>
      <c r="B82" s="619"/>
      <c r="C82" s="619" t="s">
        <v>1132</v>
      </c>
      <c r="D82" s="620" t="s">
        <v>1133</v>
      </c>
      <c r="E82" s="619" t="s">
        <v>251</v>
      </c>
      <c r="F82" s="621"/>
      <c r="G82" s="622"/>
      <c r="H82" s="621">
        <v>8</v>
      </c>
      <c r="I82" s="622">
        <f>SUM(I83:I85)</f>
        <v>9.1300000000000008</v>
      </c>
      <c r="J82" s="622">
        <f>SUM(J83:J85)</f>
        <v>1.33</v>
      </c>
      <c r="K82" s="622">
        <f>I82+J82</f>
        <v>10.46</v>
      </c>
      <c r="L82" s="622">
        <f>H82*I82</f>
        <v>73.040000000000006</v>
      </c>
      <c r="M82" s="622">
        <f>H82*J82</f>
        <v>10.64</v>
      </c>
      <c r="N82" s="622">
        <f>L82+M82</f>
        <v>83.68</v>
      </c>
      <c r="O82" s="622">
        <f>N82*$P$4</f>
        <v>20.551808000000001</v>
      </c>
      <c r="P82" s="622">
        <f>N82+O82</f>
        <v>104.231808</v>
      </c>
    </row>
    <row r="83" spans="1:16" ht="24" x14ac:dyDescent="0.25">
      <c r="A83" s="611" t="s">
        <v>278</v>
      </c>
      <c r="B83" s="611" t="s">
        <v>1134</v>
      </c>
      <c r="C83" s="611"/>
      <c r="D83" s="612" t="s">
        <v>1133</v>
      </c>
      <c r="E83" s="611" t="s">
        <v>251</v>
      </c>
      <c r="F83" s="613">
        <v>1</v>
      </c>
      <c r="G83" s="614">
        <v>9.1300000000000008</v>
      </c>
      <c r="H83" s="613"/>
      <c r="I83" s="623">
        <f>ROUND(F83*G83,2)</f>
        <v>9.1300000000000008</v>
      </c>
      <c r="J83" s="614"/>
      <c r="K83" s="614">
        <f t="shared" ref="K83:K85" si="17">I83+J83</f>
        <v>9.1300000000000008</v>
      </c>
      <c r="L83" s="614"/>
      <c r="M83" s="614"/>
      <c r="N83" s="614"/>
      <c r="O83" s="614"/>
      <c r="P83" s="614"/>
    </row>
    <row r="84" spans="1:16" x14ac:dyDescent="0.25">
      <c r="A84" s="611" t="s">
        <v>277</v>
      </c>
      <c r="B84" s="611">
        <v>2436</v>
      </c>
      <c r="C84" s="611"/>
      <c r="D84" s="612" t="s">
        <v>1069</v>
      </c>
      <c r="E84" s="611" t="s">
        <v>229</v>
      </c>
      <c r="F84" s="613">
        <v>0.06</v>
      </c>
      <c r="G84" s="614">
        <v>12.57</v>
      </c>
      <c r="H84" s="613"/>
      <c r="I84" s="614"/>
      <c r="J84" s="614">
        <f>ROUND(F84*G84,2)</f>
        <v>0.75</v>
      </c>
      <c r="K84" s="614">
        <f t="shared" si="17"/>
        <v>0.75</v>
      </c>
      <c r="L84" s="614"/>
      <c r="M84" s="614"/>
      <c r="N84" s="614"/>
      <c r="O84" s="614"/>
      <c r="P84" s="614"/>
    </row>
    <row r="85" spans="1:16" x14ac:dyDescent="0.25">
      <c r="A85" s="611" t="s">
        <v>277</v>
      </c>
      <c r="B85" s="611">
        <v>247</v>
      </c>
      <c r="C85" s="611"/>
      <c r="D85" s="612" t="s">
        <v>1070</v>
      </c>
      <c r="E85" s="611" t="s">
        <v>229</v>
      </c>
      <c r="F85" s="613">
        <v>0.06</v>
      </c>
      <c r="G85" s="614">
        <v>9.65</v>
      </c>
      <c r="H85" s="613"/>
      <c r="I85" s="614"/>
      <c r="J85" s="614">
        <f>ROUND(F85*G85,2)</f>
        <v>0.57999999999999996</v>
      </c>
      <c r="K85" s="614">
        <f t="shared" si="17"/>
        <v>0.57999999999999996</v>
      </c>
      <c r="L85" s="614"/>
      <c r="M85" s="614"/>
      <c r="N85" s="614"/>
      <c r="O85" s="614"/>
      <c r="P85" s="614"/>
    </row>
    <row r="86" spans="1:16" x14ac:dyDescent="0.25">
      <c r="A86" s="619"/>
      <c r="B86" s="619"/>
      <c r="C86" s="619" t="s">
        <v>1135</v>
      </c>
      <c r="D86" s="620" t="s">
        <v>1136</v>
      </c>
      <c r="E86" s="619" t="s">
        <v>1068</v>
      </c>
      <c r="F86" s="621"/>
      <c r="G86" s="622"/>
      <c r="H86" s="621">
        <v>1</v>
      </c>
      <c r="I86" s="622">
        <f>60.12+0.58*10</f>
        <v>65.92</v>
      </c>
      <c r="J86" s="622">
        <f>SUM(J87:J89)</f>
        <v>22.22</v>
      </c>
      <c r="K86" s="622">
        <f>I86+J86</f>
        <v>88.14</v>
      </c>
      <c r="L86" s="622">
        <f>H86*I86</f>
        <v>65.92</v>
      </c>
      <c r="M86" s="622">
        <f>H86*J86</f>
        <v>22.22</v>
      </c>
      <c r="N86" s="622">
        <f>L86+M86</f>
        <v>88.14</v>
      </c>
      <c r="O86" s="622">
        <f>N86*$P$4</f>
        <v>21.647184000000003</v>
      </c>
      <c r="P86" s="622">
        <f>N86+O86</f>
        <v>109.787184</v>
      </c>
    </row>
    <row r="87" spans="1:16" x14ac:dyDescent="0.25">
      <c r="A87" s="611" t="s">
        <v>1108</v>
      </c>
      <c r="B87" s="611" t="s">
        <v>1137</v>
      </c>
      <c r="C87" s="611"/>
      <c r="D87" s="612" t="s">
        <v>1136</v>
      </c>
      <c r="E87" s="611" t="s">
        <v>1068</v>
      </c>
      <c r="F87" s="613">
        <v>1</v>
      </c>
      <c r="G87" s="614">
        <f>60.12+0.58*10</f>
        <v>65.92</v>
      </c>
      <c r="H87" s="613"/>
      <c r="I87" s="623">
        <f>ROUND(F87*G87,2)</f>
        <v>65.92</v>
      </c>
      <c r="J87" s="614"/>
      <c r="K87" s="614">
        <f t="shared" ref="K87:K89" si="18">I87+J87</f>
        <v>65.92</v>
      </c>
      <c r="L87" s="614"/>
      <c r="M87" s="614"/>
      <c r="N87" s="614"/>
      <c r="O87" s="614"/>
      <c r="P87" s="614"/>
    </row>
    <row r="88" spans="1:16" x14ac:dyDescent="0.25">
      <c r="A88" s="611" t="s">
        <v>277</v>
      </c>
      <c r="B88" s="611">
        <v>2436</v>
      </c>
      <c r="C88" s="611"/>
      <c r="D88" s="612" t="s">
        <v>1069</v>
      </c>
      <c r="E88" s="611" t="s">
        <v>229</v>
      </c>
      <c r="F88" s="613">
        <v>1</v>
      </c>
      <c r="G88" s="614">
        <v>12.57</v>
      </c>
      <c r="H88" s="613"/>
      <c r="I88" s="614"/>
      <c r="J88" s="614">
        <f>ROUND(F88*G88,2)</f>
        <v>12.57</v>
      </c>
      <c r="K88" s="614">
        <f t="shared" si="18"/>
        <v>12.57</v>
      </c>
      <c r="L88" s="614"/>
      <c r="M88" s="614"/>
      <c r="N88" s="614"/>
      <c r="O88" s="614"/>
      <c r="P88" s="614"/>
    </row>
    <row r="89" spans="1:16" x14ac:dyDescent="0.25">
      <c r="A89" s="611" t="s">
        <v>277</v>
      </c>
      <c r="B89" s="611">
        <v>247</v>
      </c>
      <c r="C89" s="611"/>
      <c r="D89" s="612" t="s">
        <v>1070</v>
      </c>
      <c r="E89" s="611" t="s">
        <v>229</v>
      </c>
      <c r="F89" s="613">
        <v>1</v>
      </c>
      <c r="G89" s="614">
        <v>9.65</v>
      </c>
      <c r="H89" s="613"/>
      <c r="I89" s="614"/>
      <c r="J89" s="614">
        <f>ROUND(F89*G89,2)</f>
        <v>9.65</v>
      </c>
      <c r="K89" s="614">
        <f t="shared" si="18"/>
        <v>9.65</v>
      </c>
      <c r="L89" s="614"/>
      <c r="M89" s="614"/>
      <c r="N89" s="614"/>
      <c r="O89" s="614"/>
      <c r="P89" s="614"/>
    </row>
    <row r="90" spans="1:16" ht="24" x14ac:dyDescent="0.25">
      <c r="A90" s="619"/>
      <c r="B90" s="619"/>
      <c r="C90" s="619" t="s">
        <v>1138</v>
      </c>
      <c r="D90" s="620" t="s">
        <v>1139</v>
      </c>
      <c r="E90" s="619" t="s">
        <v>251</v>
      </c>
      <c r="F90" s="621"/>
      <c r="G90" s="622"/>
      <c r="H90" s="621">
        <v>1</v>
      </c>
      <c r="I90" s="622">
        <f>SUM(I91:I92)</f>
        <v>563.14</v>
      </c>
      <c r="J90" s="622">
        <f>SUM(J91:J94)</f>
        <v>143.75</v>
      </c>
      <c r="K90" s="622">
        <f>I90+J90</f>
        <v>706.89</v>
      </c>
      <c r="L90" s="622">
        <f>H90*I90</f>
        <v>563.14</v>
      </c>
      <c r="M90" s="622">
        <f>H90*J90</f>
        <v>143.75</v>
      </c>
      <c r="N90" s="622">
        <f>L90+M90</f>
        <v>706.89</v>
      </c>
      <c r="O90" s="622">
        <f>N90*$P$4</f>
        <v>173.61218400000001</v>
      </c>
      <c r="P90" s="622">
        <f>N90+O90</f>
        <v>880.50218399999994</v>
      </c>
    </row>
    <row r="91" spans="1:16" ht="48" x14ac:dyDescent="0.25">
      <c r="A91" s="611" t="s">
        <v>277</v>
      </c>
      <c r="B91" s="611">
        <v>72289</v>
      </c>
      <c r="C91" s="611"/>
      <c r="D91" s="625" t="s">
        <v>1140</v>
      </c>
      <c r="E91" s="611" t="s">
        <v>251</v>
      </c>
      <c r="F91" s="613">
        <v>1</v>
      </c>
      <c r="G91" s="614">
        <v>98.84</v>
      </c>
      <c r="H91" s="613"/>
      <c r="I91" s="623">
        <f t="shared" ref="I91:I92" si="19">ROUND(F91*G91,2)</f>
        <v>98.84</v>
      </c>
      <c r="J91" s="614"/>
      <c r="K91" s="614">
        <f>I91+J91</f>
        <v>98.84</v>
      </c>
      <c r="L91" s="614"/>
      <c r="M91" s="614"/>
      <c r="N91" s="614"/>
      <c r="O91" s="614"/>
      <c r="P91" s="614"/>
    </row>
    <row r="92" spans="1:16" ht="48" x14ac:dyDescent="0.25">
      <c r="A92" s="611" t="s">
        <v>1108</v>
      </c>
      <c r="B92" s="611" t="s">
        <v>1141</v>
      </c>
      <c r="C92" s="611"/>
      <c r="D92" s="625" t="s">
        <v>1142</v>
      </c>
      <c r="E92" s="611" t="s">
        <v>251</v>
      </c>
      <c r="F92" s="613">
        <v>1</v>
      </c>
      <c r="G92" s="614">
        <v>464.3</v>
      </c>
      <c r="H92" s="613"/>
      <c r="I92" s="623">
        <f t="shared" si="19"/>
        <v>464.3</v>
      </c>
      <c r="J92" s="614"/>
      <c r="K92" s="614">
        <f t="shared" ref="K92:K94" si="20">I92+J92</f>
        <v>464.3</v>
      </c>
      <c r="L92" s="614"/>
      <c r="M92" s="614"/>
      <c r="N92" s="614"/>
      <c r="O92" s="614"/>
      <c r="P92" s="614"/>
    </row>
    <row r="93" spans="1:16" x14ac:dyDescent="0.25">
      <c r="A93" s="611" t="s">
        <v>277</v>
      </c>
      <c r="B93" s="611">
        <v>4750</v>
      </c>
      <c r="C93" s="611"/>
      <c r="D93" s="625" t="s">
        <v>243</v>
      </c>
      <c r="E93" s="611" t="s">
        <v>229</v>
      </c>
      <c r="F93" s="613">
        <v>3.63</v>
      </c>
      <c r="G93" s="614">
        <v>12.57</v>
      </c>
      <c r="H93" s="613"/>
      <c r="I93" s="614"/>
      <c r="J93" s="614">
        <f t="shared" ref="J93:J94" si="21">ROUND(F93*G93,2)</f>
        <v>45.63</v>
      </c>
      <c r="K93" s="614">
        <f t="shared" si="20"/>
        <v>45.63</v>
      </c>
      <c r="L93" s="614"/>
      <c r="M93" s="614"/>
      <c r="N93" s="614"/>
      <c r="O93" s="614"/>
      <c r="P93" s="614"/>
    </row>
    <row r="94" spans="1:16" x14ac:dyDescent="0.25">
      <c r="A94" s="611" t="s">
        <v>277</v>
      </c>
      <c r="B94" s="611">
        <v>6111</v>
      </c>
      <c r="C94" s="611"/>
      <c r="D94" s="625" t="s">
        <v>207</v>
      </c>
      <c r="E94" s="611" t="s">
        <v>229</v>
      </c>
      <c r="F94" s="613">
        <v>11</v>
      </c>
      <c r="G94" s="614">
        <v>8.92</v>
      </c>
      <c r="H94" s="613"/>
      <c r="I94" s="614"/>
      <c r="J94" s="614">
        <f t="shared" si="21"/>
        <v>98.12</v>
      </c>
      <c r="K94" s="614">
        <f t="shared" si="20"/>
        <v>98.12</v>
      </c>
      <c r="L94" s="614"/>
      <c r="M94" s="614"/>
      <c r="N94" s="614"/>
      <c r="O94" s="614"/>
      <c r="P94" s="614"/>
    </row>
    <row r="95" spans="1:16" x14ac:dyDescent="0.25">
      <c r="A95" s="619"/>
      <c r="B95" s="619"/>
      <c r="C95" s="619" t="s">
        <v>1143</v>
      </c>
      <c r="D95" s="620" t="s">
        <v>1144</v>
      </c>
      <c r="E95" s="619" t="s">
        <v>248</v>
      </c>
      <c r="F95" s="621"/>
      <c r="G95" s="622"/>
      <c r="H95" s="621">
        <v>15</v>
      </c>
      <c r="I95" s="622">
        <f>SUM(I96:I98)</f>
        <v>7.73</v>
      </c>
      <c r="J95" s="622">
        <f>SUM(J96:J98)</f>
        <v>3.7800000000000002</v>
      </c>
      <c r="K95" s="622">
        <f>I95+J95</f>
        <v>11.510000000000002</v>
      </c>
      <c r="L95" s="622">
        <f>H95*I95</f>
        <v>115.95</v>
      </c>
      <c r="M95" s="622">
        <f>H95*J95</f>
        <v>56.7</v>
      </c>
      <c r="N95" s="622">
        <f>L95+M95</f>
        <v>172.65</v>
      </c>
      <c r="O95" s="622">
        <f>N95*$P$4</f>
        <v>42.402840000000005</v>
      </c>
      <c r="P95" s="622">
        <f>N95+O95</f>
        <v>215.05284</v>
      </c>
    </row>
    <row r="96" spans="1:16" x14ac:dyDescent="0.25">
      <c r="A96" s="611" t="s">
        <v>277</v>
      </c>
      <c r="B96" s="611">
        <v>868</v>
      </c>
      <c r="C96" s="611"/>
      <c r="D96" s="612" t="s">
        <v>1144</v>
      </c>
      <c r="E96" s="611" t="s">
        <v>248</v>
      </c>
      <c r="F96" s="613">
        <v>1.02</v>
      </c>
      <c r="G96" s="614">
        <v>7.58</v>
      </c>
      <c r="H96" s="613"/>
      <c r="I96" s="623">
        <f>ROUND(F96*G96,2)</f>
        <v>7.73</v>
      </c>
      <c r="J96" s="614"/>
      <c r="K96" s="614">
        <f t="shared" ref="K96:K98" si="22">I96+J96</f>
        <v>7.73</v>
      </c>
      <c r="L96" s="614"/>
      <c r="M96" s="614"/>
      <c r="N96" s="614"/>
      <c r="O96" s="614"/>
      <c r="P96" s="614"/>
    </row>
    <row r="97" spans="1:16" x14ac:dyDescent="0.25">
      <c r="A97" s="611" t="s">
        <v>277</v>
      </c>
      <c r="B97" s="611">
        <v>2436</v>
      </c>
      <c r="C97" s="611"/>
      <c r="D97" s="612" t="s">
        <v>1069</v>
      </c>
      <c r="E97" s="611" t="s">
        <v>229</v>
      </c>
      <c r="F97" s="613">
        <v>0.17</v>
      </c>
      <c r="G97" s="614">
        <v>12.57</v>
      </c>
      <c r="H97" s="613"/>
      <c r="I97" s="614"/>
      <c r="J97" s="614">
        <f>ROUND(F97*G97,2)</f>
        <v>2.14</v>
      </c>
      <c r="K97" s="614">
        <f t="shared" si="22"/>
        <v>2.14</v>
      </c>
      <c r="L97" s="614"/>
      <c r="M97" s="614"/>
      <c r="N97" s="614"/>
      <c r="O97" s="614"/>
      <c r="P97" s="614"/>
    </row>
    <row r="98" spans="1:16" x14ac:dyDescent="0.25">
      <c r="A98" s="611" t="s">
        <v>277</v>
      </c>
      <c r="B98" s="611">
        <v>247</v>
      </c>
      <c r="C98" s="611"/>
      <c r="D98" s="612" t="s">
        <v>1070</v>
      </c>
      <c r="E98" s="611" t="s">
        <v>229</v>
      </c>
      <c r="F98" s="613">
        <v>0.17</v>
      </c>
      <c r="G98" s="614">
        <v>9.65</v>
      </c>
      <c r="H98" s="613"/>
      <c r="I98" s="614"/>
      <c r="J98" s="614">
        <f>ROUND(F98*G98,2)</f>
        <v>1.64</v>
      </c>
      <c r="K98" s="614">
        <f t="shared" si="22"/>
        <v>1.64</v>
      </c>
      <c r="L98" s="614"/>
      <c r="M98" s="614"/>
      <c r="N98" s="614"/>
      <c r="O98" s="614"/>
      <c r="P98" s="614"/>
    </row>
    <row r="99" spans="1:16" x14ac:dyDescent="0.25">
      <c r="A99" s="619"/>
      <c r="B99" s="619"/>
      <c r="C99" s="619" t="s">
        <v>1145</v>
      </c>
      <c r="D99" s="620" t="s">
        <v>1146</v>
      </c>
      <c r="E99" s="619" t="s">
        <v>251</v>
      </c>
      <c r="F99" s="621"/>
      <c r="G99" s="622"/>
      <c r="H99" s="621">
        <v>1</v>
      </c>
      <c r="I99" s="622">
        <f>SUM(I100:I103)</f>
        <v>34.79</v>
      </c>
      <c r="J99" s="622">
        <f>SUM(J100:J103)</f>
        <v>8.89</v>
      </c>
      <c r="K99" s="622">
        <f>I99+J99</f>
        <v>43.68</v>
      </c>
      <c r="L99" s="622">
        <f>H99*I99</f>
        <v>34.79</v>
      </c>
      <c r="M99" s="622">
        <f>H99*J99</f>
        <v>8.89</v>
      </c>
      <c r="N99" s="622">
        <f>L99+M99</f>
        <v>43.68</v>
      </c>
      <c r="O99" s="622">
        <f>N99*$P$4</f>
        <v>10.727808000000001</v>
      </c>
      <c r="P99" s="622">
        <f>N99+O99</f>
        <v>54.407808000000003</v>
      </c>
    </row>
    <row r="100" spans="1:16" x14ac:dyDescent="0.25">
      <c r="A100" s="611" t="s">
        <v>1108</v>
      </c>
      <c r="B100" s="611" t="s">
        <v>1147</v>
      </c>
      <c r="C100" s="611"/>
      <c r="D100" s="612" t="s">
        <v>1146</v>
      </c>
      <c r="E100" s="611" t="s">
        <v>251</v>
      </c>
      <c r="F100" s="613">
        <v>1</v>
      </c>
      <c r="G100" s="614">
        <v>32.119999999999997</v>
      </c>
      <c r="H100" s="613"/>
      <c r="I100" s="623">
        <f>ROUND(F100*G100,2)</f>
        <v>32.119999999999997</v>
      </c>
      <c r="J100" s="614"/>
      <c r="K100" s="614">
        <f t="shared" ref="K100:K103" si="23">I100+J100</f>
        <v>32.119999999999997</v>
      </c>
      <c r="L100" s="614"/>
      <c r="M100" s="614"/>
      <c r="N100" s="614"/>
      <c r="O100" s="614"/>
      <c r="P100" s="614"/>
    </row>
    <row r="101" spans="1:16" x14ac:dyDescent="0.25">
      <c r="A101" s="611" t="s">
        <v>277</v>
      </c>
      <c r="B101" s="611">
        <v>425</v>
      </c>
      <c r="C101" s="611"/>
      <c r="D101" s="612" t="s">
        <v>1148</v>
      </c>
      <c r="E101" s="611" t="s">
        <v>251</v>
      </c>
      <c r="F101" s="613">
        <v>1</v>
      </c>
      <c r="G101" s="614">
        <v>2.67</v>
      </c>
      <c r="H101" s="613"/>
      <c r="I101" s="623">
        <f>ROUND(F101*G101,2)</f>
        <v>2.67</v>
      </c>
      <c r="J101" s="614"/>
      <c r="K101" s="614"/>
      <c r="L101" s="614"/>
      <c r="M101" s="614"/>
      <c r="N101" s="614"/>
      <c r="O101" s="614"/>
      <c r="P101" s="614"/>
    </row>
    <row r="102" spans="1:16" x14ac:dyDescent="0.25">
      <c r="A102" s="611" t="s">
        <v>277</v>
      </c>
      <c r="B102" s="611">
        <v>2436</v>
      </c>
      <c r="C102" s="611"/>
      <c r="D102" s="612" t="s">
        <v>1069</v>
      </c>
      <c r="E102" s="611" t="s">
        <v>229</v>
      </c>
      <c r="F102" s="613">
        <v>0.4</v>
      </c>
      <c r="G102" s="614">
        <v>12.57</v>
      </c>
      <c r="H102" s="613"/>
      <c r="I102" s="614"/>
      <c r="J102" s="614">
        <f>ROUND(F102*G102,2)</f>
        <v>5.03</v>
      </c>
      <c r="K102" s="614">
        <f t="shared" si="23"/>
        <v>5.03</v>
      </c>
      <c r="L102" s="614"/>
      <c r="M102" s="614"/>
      <c r="N102" s="614"/>
      <c r="O102" s="614"/>
      <c r="P102" s="614"/>
    </row>
    <row r="103" spans="1:16" x14ac:dyDescent="0.25">
      <c r="A103" s="611" t="s">
        <v>277</v>
      </c>
      <c r="B103" s="611">
        <v>247</v>
      </c>
      <c r="C103" s="611"/>
      <c r="D103" s="612" t="s">
        <v>1070</v>
      </c>
      <c r="E103" s="611" t="s">
        <v>229</v>
      </c>
      <c r="F103" s="613">
        <v>0.4</v>
      </c>
      <c r="G103" s="614">
        <v>9.65</v>
      </c>
      <c r="H103" s="613"/>
      <c r="I103" s="614"/>
      <c r="J103" s="614">
        <f>ROUND(F103*G103,2)</f>
        <v>3.86</v>
      </c>
      <c r="K103" s="614">
        <f t="shared" si="23"/>
        <v>3.86</v>
      </c>
      <c r="L103" s="614"/>
      <c r="M103" s="614"/>
      <c r="N103" s="614"/>
      <c r="O103" s="614"/>
      <c r="P103" s="614"/>
    </row>
    <row r="104" spans="1:16" x14ac:dyDescent="0.25">
      <c r="A104" s="619"/>
      <c r="B104" s="619"/>
      <c r="C104" s="619" t="s">
        <v>1149</v>
      </c>
      <c r="D104" s="620" t="s">
        <v>1150</v>
      </c>
      <c r="E104" s="619" t="s">
        <v>248</v>
      </c>
      <c r="F104" s="621"/>
      <c r="G104" s="622"/>
      <c r="H104" s="621">
        <v>1.5</v>
      </c>
      <c r="I104" s="622">
        <f>SUM(I105:I109)</f>
        <v>32.18</v>
      </c>
      <c r="J104" s="622">
        <f>SUM(J105:J109)</f>
        <v>33.340000000000003</v>
      </c>
      <c r="K104" s="622">
        <f>I104+J104</f>
        <v>65.52000000000001</v>
      </c>
      <c r="L104" s="622">
        <f>H104*I104</f>
        <v>48.269999999999996</v>
      </c>
      <c r="M104" s="622">
        <f>H104*J104</f>
        <v>50.010000000000005</v>
      </c>
      <c r="N104" s="622">
        <f>L104+M104</f>
        <v>98.28</v>
      </c>
      <c r="O104" s="622">
        <f>N104*$P$4</f>
        <v>24.137568000000002</v>
      </c>
      <c r="P104" s="622">
        <f>N104+O104</f>
        <v>122.417568</v>
      </c>
    </row>
    <row r="105" spans="1:16" x14ac:dyDescent="0.25">
      <c r="A105" s="611" t="s">
        <v>278</v>
      </c>
      <c r="B105" s="611" t="s">
        <v>1151</v>
      </c>
      <c r="C105" s="611"/>
      <c r="D105" s="612" t="s">
        <v>1152</v>
      </c>
      <c r="E105" s="611" t="s">
        <v>248</v>
      </c>
      <c r="F105" s="613">
        <v>1</v>
      </c>
      <c r="G105" s="614">
        <v>18.32</v>
      </c>
      <c r="H105" s="613"/>
      <c r="I105" s="623">
        <f>ROUND(F105*G105,2)</f>
        <v>18.32</v>
      </c>
      <c r="J105" s="614"/>
      <c r="K105" s="614">
        <f t="shared" ref="K105:K109" si="24">I105+J105</f>
        <v>18.32</v>
      </c>
      <c r="L105" s="614"/>
      <c r="M105" s="614"/>
      <c r="N105" s="614"/>
      <c r="O105" s="614"/>
      <c r="P105" s="614"/>
    </row>
    <row r="106" spans="1:16" x14ac:dyDescent="0.25">
      <c r="A106" s="611" t="s">
        <v>1108</v>
      </c>
      <c r="B106" s="611" t="s">
        <v>1153</v>
      </c>
      <c r="C106" s="611"/>
      <c r="D106" s="612" t="s">
        <v>1154</v>
      </c>
      <c r="E106" s="611" t="s">
        <v>1068</v>
      </c>
      <c r="F106" s="613">
        <v>4.0000000000000001E-3</v>
      </c>
      <c r="G106" s="614">
        <v>108.12</v>
      </c>
      <c r="H106" s="613"/>
      <c r="I106" s="623">
        <f t="shared" ref="I106:I107" si="25">ROUND(F106*G106,2)</f>
        <v>0.43</v>
      </c>
      <c r="J106" s="614"/>
      <c r="K106" s="614">
        <f t="shared" si="24"/>
        <v>0.43</v>
      </c>
      <c r="L106" s="614"/>
      <c r="M106" s="614"/>
      <c r="N106" s="614"/>
      <c r="O106" s="614"/>
      <c r="P106" s="614"/>
    </row>
    <row r="107" spans="1:16" x14ac:dyDescent="0.25">
      <c r="A107" s="611" t="s">
        <v>1108</v>
      </c>
      <c r="B107" s="611" t="s">
        <v>1155</v>
      </c>
      <c r="C107" s="611"/>
      <c r="D107" s="612" t="s">
        <v>1156</v>
      </c>
      <c r="E107" s="611" t="s">
        <v>251</v>
      </c>
      <c r="F107" s="613">
        <v>1.7</v>
      </c>
      <c r="G107" s="614">
        <v>7.9</v>
      </c>
      <c r="H107" s="613"/>
      <c r="I107" s="623">
        <f t="shared" si="25"/>
        <v>13.43</v>
      </c>
      <c r="J107" s="614"/>
      <c r="K107" s="614">
        <f t="shared" si="24"/>
        <v>13.43</v>
      </c>
      <c r="L107" s="614"/>
      <c r="M107" s="614"/>
      <c r="N107" s="614"/>
      <c r="O107" s="614"/>
      <c r="P107" s="614"/>
    </row>
    <row r="108" spans="1:16" x14ac:dyDescent="0.25">
      <c r="A108" s="611" t="s">
        <v>277</v>
      </c>
      <c r="B108" s="611">
        <v>2436</v>
      </c>
      <c r="C108" s="611"/>
      <c r="D108" s="612" t="s">
        <v>1069</v>
      </c>
      <c r="E108" s="611" t="s">
        <v>229</v>
      </c>
      <c r="F108" s="613">
        <v>1.5</v>
      </c>
      <c r="G108" s="614">
        <v>12.57</v>
      </c>
      <c r="H108" s="613"/>
      <c r="I108" s="614"/>
      <c r="J108" s="614">
        <f>ROUND(F108*G108,2)</f>
        <v>18.86</v>
      </c>
      <c r="K108" s="614">
        <f t="shared" si="24"/>
        <v>18.86</v>
      </c>
      <c r="L108" s="614"/>
      <c r="M108" s="614"/>
      <c r="N108" s="614"/>
      <c r="O108" s="614"/>
      <c r="P108" s="614"/>
    </row>
    <row r="109" spans="1:16" x14ac:dyDescent="0.25">
      <c r="A109" s="611" t="s">
        <v>277</v>
      </c>
      <c r="B109" s="611">
        <v>247</v>
      </c>
      <c r="C109" s="611"/>
      <c r="D109" s="612" t="s">
        <v>1070</v>
      </c>
      <c r="E109" s="611" t="s">
        <v>229</v>
      </c>
      <c r="F109" s="613">
        <v>1.5</v>
      </c>
      <c r="G109" s="614">
        <v>9.65</v>
      </c>
      <c r="H109" s="613"/>
      <c r="I109" s="614"/>
      <c r="J109" s="614">
        <f>ROUND(F109*G109,2)</f>
        <v>14.48</v>
      </c>
      <c r="K109" s="614">
        <f t="shared" si="24"/>
        <v>14.48</v>
      </c>
      <c r="L109" s="614"/>
      <c r="M109" s="614"/>
      <c r="N109" s="614"/>
      <c r="O109" s="614"/>
      <c r="P109" s="614"/>
    </row>
    <row r="110" spans="1:16" x14ac:dyDescent="0.25">
      <c r="A110" s="611"/>
      <c r="B110" s="611"/>
      <c r="C110" s="611"/>
      <c r="D110" s="612"/>
      <c r="E110" s="611"/>
      <c r="F110" s="613"/>
      <c r="G110" s="614"/>
      <c r="H110" s="613"/>
      <c r="I110" s="614"/>
      <c r="J110" s="614"/>
      <c r="K110" s="614"/>
      <c r="L110" s="614"/>
      <c r="M110" s="614"/>
      <c r="N110" s="614"/>
      <c r="O110" s="614"/>
      <c r="P110" s="614"/>
    </row>
    <row r="111" spans="1:16" x14ac:dyDescent="0.25">
      <c r="A111" s="611"/>
      <c r="B111" s="611"/>
      <c r="C111" s="611"/>
      <c r="D111" s="629" t="s">
        <v>1157</v>
      </c>
      <c r="E111" s="611"/>
      <c r="F111" s="613"/>
      <c r="G111" s="614"/>
      <c r="H111" s="613"/>
      <c r="I111" s="614"/>
      <c r="J111" s="614"/>
      <c r="K111" s="614"/>
      <c r="L111" s="614"/>
      <c r="M111" s="614"/>
      <c r="N111" s="614"/>
      <c r="O111" s="614"/>
      <c r="P111" s="614"/>
    </row>
    <row r="112" spans="1:16" x14ac:dyDescent="0.25">
      <c r="A112" s="611"/>
      <c r="B112" s="611"/>
      <c r="C112" s="611"/>
      <c r="D112" s="629"/>
      <c r="E112" s="611"/>
      <c r="F112" s="613"/>
      <c r="G112" s="614"/>
      <c r="H112" s="613"/>
      <c r="I112" s="614"/>
      <c r="J112" s="614"/>
      <c r="K112" s="614"/>
      <c r="L112" s="614"/>
      <c r="M112" s="614"/>
      <c r="N112" s="614"/>
      <c r="O112" s="614"/>
      <c r="P112" s="614"/>
    </row>
    <row r="113" spans="1:16" ht="24" x14ac:dyDescent="0.25">
      <c r="A113" s="619"/>
      <c r="B113" s="619"/>
      <c r="C113" s="619" t="s">
        <v>1158</v>
      </c>
      <c r="D113" s="620" t="s">
        <v>1159</v>
      </c>
      <c r="E113" s="619" t="s">
        <v>253</v>
      </c>
      <c r="F113" s="621"/>
      <c r="G113" s="622"/>
      <c r="H113" s="621">
        <v>2.94</v>
      </c>
      <c r="I113" s="622">
        <f>SUM(I114:I118)</f>
        <v>265.03000000000003</v>
      </c>
      <c r="J113" s="622">
        <f>SUM(J114:J118)</f>
        <v>75.81</v>
      </c>
      <c r="K113" s="622">
        <f>I113+J113</f>
        <v>340.84000000000003</v>
      </c>
      <c r="L113" s="622">
        <f>H113*I113</f>
        <v>779.18820000000005</v>
      </c>
      <c r="M113" s="622">
        <f>H113*J113</f>
        <v>222.88140000000001</v>
      </c>
      <c r="N113" s="622">
        <f>L113+M113</f>
        <v>1002.0696</v>
      </c>
      <c r="O113" s="622">
        <f>N113*$P$4</f>
        <v>246.10829376000001</v>
      </c>
      <c r="P113" s="622">
        <f>N113+O113</f>
        <v>1248.17789376</v>
      </c>
    </row>
    <row r="114" spans="1:16" ht="24" x14ac:dyDescent="0.25">
      <c r="A114" s="611" t="s">
        <v>278</v>
      </c>
      <c r="B114" s="611" t="s">
        <v>1160</v>
      </c>
      <c r="C114" s="611"/>
      <c r="D114" s="612" t="s">
        <v>1161</v>
      </c>
      <c r="E114" s="611" t="s">
        <v>253</v>
      </c>
      <c r="F114" s="613">
        <v>1</v>
      </c>
      <c r="G114" s="614">
        <v>249.65</v>
      </c>
      <c r="H114" s="613"/>
      <c r="I114" s="623">
        <f t="shared" ref="I114" si="26">ROUND(F114*G114,2)</f>
        <v>249.65</v>
      </c>
      <c r="J114" s="614"/>
      <c r="K114" s="614">
        <f t="shared" ref="K114:K117" si="27">I114+J114</f>
        <v>249.65</v>
      </c>
      <c r="L114" s="614"/>
      <c r="M114" s="614"/>
      <c r="N114" s="614"/>
      <c r="O114" s="614"/>
      <c r="P114" s="614"/>
    </row>
    <row r="115" spans="1:16" x14ac:dyDescent="0.25">
      <c r="A115" s="611" t="s">
        <v>277</v>
      </c>
      <c r="B115" s="611">
        <v>84660</v>
      </c>
      <c r="C115" s="611"/>
      <c r="D115" s="612" t="s">
        <v>1162</v>
      </c>
      <c r="E115" s="611" t="s">
        <v>253</v>
      </c>
      <c r="F115" s="613">
        <v>1</v>
      </c>
      <c r="G115" s="614">
        <v>5.3</v>
      </c>
      <c r="H115" s="613"/>
      <c r="I115" s="623">
        <f>ROUND(F115*G115*0.76,2)</f>
        <v>4.03</v>
      </c>
      <c r="J115" s="614">
        <f>ROUND(F115*G115-I115,2)</f>
        <v>1.27</v>
      </c>
      <c r="K115" s="614">
        <f t="shared" si="27"/>
        <v>5.3000000000000007</v>
      </c>
      <c r="L115" s="614"/>
      <c r="M115" s="614"/>
      <c r="N115" s="614"/>
      <c r="O115" s="614"/>
      <c r="P115" s="614"/>
    </row>
    <row r="116" spans="1:16" ht="24" x14ac:dyDescent="0.25">
      <c r="A116" s="611" t="s">
        <v>277</v>
      </c>
      <c r="B116" s="611" t="s">
        <v>1163</v>
      </c>
      <c r="C116" s="611"/>
      <c r="D116" s="612" t="s">
        <v>1164</v>
      </c>
      <c r="E116" s="611" t="s">
        <v>253</v>
      </c>
      <c r="F116" s="613">
        <v>1</v>
      </c>
      <c r="G116" s="614">
        <v>21.42</v>
      </c>
      <c r="H116" s="613"/>
      <c r="I116" s="614">
        <f>ROUND(0.53*F116*G116,2)</f>
        <v>11.35</v>
      </c>
      <c r="J116" s="614">
        <f>ROUND(0.47*F116*G116,2)</f>
        <v>10.07</v>
      </c>
      <c r="K116" s="614">
        <f t="shared" si="27"/>
        <v>21.42</v>
      </c>
      <c r="L116" s="614"/>
      <c r="M116" s="614"/>
      <c r="N116" s="614"/>
      <c r="O116" s="614"/>
      <c r="P116" s="614"/>
    </row>
    <row r="117" spans="1:16" x14ac:dyDescent="0.25">
      <c r="A117" s="611" t="s">
        <v>277</v>
      </c>
      <c r="B117" s="611">
        <v>4750</v>
      </c>
      <c r="C117" s="611"/>
      <c r="D117" s="612" t="s">
        <v>243</v>
      </c>
      <c r="E117" s="611" t="s">
        <v>229</v>
      </c>
      <c r="F117" s="613">
        <v>3</v>
      </c>
      <c r="G117" s="614">
        <v>12.57</v>
      </c>
      <c r="H117" s="613"/>
      <c r="I117" s="614"/>
      <c r="J117" s="614">
        <f t="shared" ref="J117:J118" si="28">ROUND(F117*G117,2)</f>
        <v>37.71</v>
      </c>
      <c r="K117" s="614">
        <f t="shared" si="27"/>
        <v>37.71</v>
      </c>
      <c r="L117" s="614"/>
      <c r="M117" s="614"/>
      <c r="N117" s="614"/>
      <c r="O117" s="614"/>
      <c r="P117" s="614"/>
    </row>
    <row r="118" spans="1:16" x14ac:dyDescent="0.25">
      <c r="A118" s="611" t="s">
        <v>277</v>
      </c>
      <c r="B118" s="611">
        <v>6111</v>
      </c>
      <c r="C118" s="611"/>
      <c r="D118" s="612" t="s">
        <v>207</v>
      </c>
      <c r="E118" s="611" t="s">
        <v>229</v>
      </c>
      <c r="F118" s="613">
        <v>3</v>
      </c>
      <c r="G118" s="614">
        <v>8.92</v>
      </c>
      <c r="H118" s="613"/>
      <c r="I118" s="614"/>
      <c r="J118" s="614">
        <f t="shared" si="28"/>
        <v>26.76</v>
      </c>
      <c r="K118" s="614">
        <f>I118+J118</f>
        <v>26.76</v>
      </c>
      <c r="L118" s="614"/>
      <c r="M118" s="614"/>
      <c r="N118" s="614"/>
      <c r="O118" s="614"/>
      <c r="P118" s="614"/>
    </row>
    <row r="119" spans="1:16" x14ac:dyDescent="0.25">
      <c r="A119" s="619"/>
      <c r="B119" s="619"/>
      <c r="C119" s="619" t="s">
        <v>1165</v>
      </c>
      <c r="D119" s="620" t="s">
        <v>1166</v>
      </c>
      <c r="E119" s="619" t="s">
        <v>248</v>
      </c>
      <c r="F119" s="621"/>
      <c r="G119" s="622"/>
      <c r="H119" s="621">
        <v>7</v>
      </c>
      <c r="I119" s="622">
        <f>SUM(I120:I122)</f>
        <v>11.87</v>
      </c>
      <c r="J119" s="622">
        <f>SUM(J120:J122)</f>
        <v>11.2</v>
      </c>
      <c r="K119" s="622">
        <f>I119+J119</f>
        <v>23.07</v>
      </c>
      <c r="L119" s="622">
        <f>H119*I119</f>
        <v>83.089999999999989</v>
      </c>
      <c r="M119" s="622">
        <f>H119*J119</f>
        <v>78.399999999999991</v>
      </c>
      <c r="N119" s="622">
        <f>L119+M119</f>
        <v>161.48999999999998</v>
      </c>
      <c r="O119" s="622">
        <f>N119*$P$4</f>
        <v>39.661943999999998</v>
      </c>
      <c r="P119" s="622">
        <f>N119+O119</f>
        <v>201.15194399999999</v>
      </c>
    </row>
    <row r="120" spans="1:16" x14ac:dyDescent="0.25">
      <c r="A120" s="611" t="s">
        <v>278</v>
      </c>
      <c r="B120" s="611" t="s">
        <v>1167</v>
      </c>
      <c r="C120" s="611"/>
      <c r="D120" s="612" t="s">
        <v>1166</v>
      </c>
      <c r="E120" s="611" t="s">
        <v>248</v>
      </c>
      <c r="F120" s="613">
        <v>1</v>
      </c>
      <c r="G120" s="614">
        <v>11.87</v>
      </c>
      <c r="H120" s="613"/>
      <c r="I120" s="623">
        <f t="shared" ref="I120" si="29">ROUND(F120*G120,2)</f>
        <v>11.87</v>
      </c>
      <c r="J120" s="614"/>
      <c r="K120" s="614">
        <f t="shared" ref="K120:K121" si="30">I120+J120</f>
        <v>11.87</v>
      </c>
      <c r="L120" s="614"/>
      <c r="M120" s="614"/>
      <c r="N120" s="614"/>
      <c r="O120" s="614"/>
      <c r="P120" s="614"/>
    </row>
    <row r="121" spans="1:16" x14ac:dyDescent="0.25">
      <c r="A121" s="611" t="s">
        <v>277</v>
      </c>
      <c r="B121" s="611">
        <v>4750</v>
      </c>
      <c r="C121" s="611"/>
      <c r="D121" s="612" t="s">
        <v>243</v>
      </c>
      <c r="E121" s="611" t="s">
        <v>229</v>
      </c>
      <c r="F121" s="613">
        <v>0.5</v>
      </c>
      <c r="G121" s="614">
        <v>12.57</v>
      </c>
      <c r="H121" s="613"/>
      <c r="I121" s="614"/>
      <c r="J121" s="614">
        <f t="shared" ref="J121:J122" si="31">ROUND(F121*G121,2)</f>
        <v>6.29</v>
      </c>
      <c r="K121" s="614">
        <f t="shared" si="30"/>
        <v>6.29</v>
      </c>
      <c r="L121" s="614"/>
      <c r="M121" s="614"/>
      <c r="N121" s="614"/>
      <c r="O121" s="614"/>
      <c r="P121" s="614"/>
    </row>
    <row r="122" spans="1:16" x14ac:dyDescent="0.25">
      <c r="A122" s="611" t="s">
        <v>277</v>
      </c>
      <c r="B122" s="611">
        <v>6111</v>
      </c>
      <c r="C122" s="611"/>
      <c r="D122" s="612" t="s">
        <v>207</v>
      </c>
      <c r="E122" s="611" t="s">
        <v>229</v>
      </c>
      <c r="F122" s="613">
        <v>0.55000000000000004</v>
      </c>
      <c r="G122" s="614">
        <v>8.92</v>
      </c>
      <c r="H122" s="613"/>
      <c r="I122" s="614"/>
      <c r="J122" s="614">
        <f t="shared" si="31"/>
        <v>4.91</v>
      </c>
      <c r="K122" s="614">
        <f>I122+J122</f>
        <v>4.91</v>
      </c>
      <c r="L122" s="614"/>
      <c r="M122" s="614"/>
      <c r="N122" s="614"/>
      <c r="O122" s="614"/>
      <c r="P122" s="614"/>
    </row>
    <row r="123" spans="1:16" ht="24" x14ac:dyDescent="0.25">
      <c r="A123" s="619"/>
      <c r="B123" s="619"/>
      <c r="C123" s="619" t="s">
        <v>1168</v>
      </c>
      <c r="D123" s="620" t="s">
        <v>1169</v>
      </c>
      <c r="E123" s="619" t="s">
        <v>253</v>
      </c>
      <c r="F123" s="621"/>
      <c r="G123" s="622"/>
      <c r="H123" s="621">
        <v>3.36</v>
      </c>
      <c r="I123" s="622">
        <f>SUM(I124:I124)</f>
        <v>99.36</v>
      </c>
      <c r="J123" s="622">
        <f>SUM(J124:J124)</f>
        <v>60.3</v>
      </c>
      <c r="K123" s="622">
        <f>I123+J123</f>
        <v>159.66</v>
      </c>
      <c r="L123" s="622">
        <f>H123*I123</f>
        <v>333.84960000000001</v>
      </c>
      <c r="M123" s="622">
        <f>H123*J123</f>
        <v>202.60799999999998</v>
      </c>
      <c r="N123" s="622">
        <f>L123+M123</f>
        <v>536.45759999999996</v>
      </c>
      <c r="O123" s="622">
        <f>N123*$P$4</f>
        <v>131.75398655999999</v>
      </c>
      <c r="P123" s="622">
        <f>N123+O123</f>
        <v>668.21158655999989</v>
      </c>
    </row>
    <row r="124" spans="1:16" ht="48" x14ac:dyDescent="0.25">
      <c r="A124" s="611" t="s">
        <v>277</v>
      </c>
      <c r="B124" s="611" t="s">
        <v>1170</v>
      </c>
      <c r="C124" s="611"/>
      <c r="D124" s="612" t="s">
        <v>1171</v>
      </c>
      <c r="E124" s="611" t="s">
        <v>253</v>
      </c>
      <c r="F124" s="613">
        <v>1</v>
      </c>
      <c r="G124" s="614">
        <v>159.66</v>
      </c>
      <c r="H124" s="613"/>
      <c r="I124" s="614">
        <f>ROUND(F124*G124*0.6223,2)</f>
        <v>99.36</v>
      </c>
      <c r="J124" s="614">
        <f>ROUND(F124*G124-I124,2)</f>
        <v>60.3</v>
      </c>
      <c r="K124" s="614">
        <f>I124+J124</f>
        <v>159.66</v>
      </c>
      <c r="L124" s="614"/>
      <c r="M124" s="614"/>
      <c r="N124" s="614"/>
      <c r="O124" s="614"/>
      <c r="P124" s="614"/>
    </row>
    <row r="125" spans="1:16" ht="24" x14ac:dyDescent="0.25">
      <c r="A125" s="619"/>
      <c r="B125" s="619"/>
      <c r="C125" s="619" t="s">
        <v>1172</v>
      </c>
      <c r="D125" s="620" t="s">
        <v>1173</v>
      </c>
      <c r="E125" s="619" t="s">
        <v>253</v>
      </c>
      <c r="F125" s="621"/>
      <c r="G125" s="622"/>
      <c r="H125" s="621">
        <f>0.64*2</f>
        <v>1.28</v>
      </c>
      <c r="I125" s="622">
        <f>SUM(I126:I127)</f>
        <v>425.39</v>
      </c>
      <c r="J125" s="622">
        <f>SUM(J126:J127)</f>
        <v>60.87</v>
      </c>
      <c r="K125" s="622">
        <f>I125+J125</f>
        <v>486.26</v>
      </c>
      <c r="L125" s="622">
        <f>H125*I125</f>
        <v>544.49919999999997</v>
      </c>
      <c r="M125" s="622">
        <f>H125*J125</f>
        <v>77.913600000000002</v>
      </c>
      <c r="N125" s="622">
        <f>L125+M125</f>
        <v>622.41279999999995</v>
      </c>
      <c r="O125" s="622">
        <f>N125*$P$4</f>
        <v>152.86458367999998</v>
      </c>
      <c r="P125" s="622">
        <f>N125+O125</f>
        <v>775.27738367999996</v>
      </c>
    </row>
    <row r="126" spans="1:16" x14ac:dyDescent="0.25">
      <c r="A126" s="611" t="s">
        <v>277</v>
      </c>
      <c r="B126" s="611" t="s">
        <v>109</v>
      </c>
      <c r="C126" s="611"/>
      <c r="D126" s="612" t="s">
        <v>1174</v>
      </c>
      <c r="E126" s="611" t="s">
        <v>253</v>
      </c>
      <c r="F126" s="613">
        <v>1</v>
      </c>
      <c r="G126" s="614">
        <v>468.24</v>
      </c>
      <c r="H126" s="613"/>
      <c r="I126" s="614">
        <f>ROUND(F126*G126*0.87,2)</f>
        <v>407.37</v>
      </c>
      <c r="J126" s="614">
        <f>ROUND(F126*G126-I126,2)</f>
        <v>60.87</v>
      </c>
      <c r="K126" s="614">
        <f>I126+J126</f>
        <v>468.24</v>
      </c>
      <c r="L126" s="614"/>
      <c r="M126" s="614"/>
      <c r="N126" s="614"/>
      <c r="O126" s="614"/>
      <c r="P126" s="614"/>
    </row>
    <row r="127" spans="1:16" x14ac:dyDescent="0.25">
      <c r="A127" s="611" t="s">
        <v>277</v>
      </c>
      <c r="B127" s="611">
        <v>10935</v>
      </c>
      <c r="C127" s="611"/>
      <c r="D127" s="612" t="s">
        <v>1175</v>
      </c>
      <c r="E127" s="611" t="s">
        <v>253</v>
      </c>
      <c r="F127" s="613">
        <v>1</v>
      </c>
      <c r="G127" s="614">
        <v>18.02</v>
      </c>
      <c r="H127" s="613"/>
      <c r="I127" s="614">
        <f>ROUND(F127*G127,2)</f>
        <v>18.02</v>
      </c>
      <c r="J127" s="614"/>
      <c r="K127" s="614"/>
      <c r="L127" s="614"/>
      <c r="M127" s="614"/>
      <c r="N127" s="614"/>
      <c r="O127" s="614"/>
      <c r="P127" s="614"/>
    </row>
    <row r="128" spans="1:16" x14ac:dyDescent="0.25">
      <c r="A128" s="611"/>
      <c r="B128" s="611"/>
      <c r="C128" s="611"/>
      <c r="D128" s="612"/>
      <c r="E128" s="611"/>
      <c r="F128" s="613"/>
      <c r="G128" s="614"/>
      <c r="H128" s="613"/>
      <c r="I128" s="614"/>
      <c r="J128" s="614"/>
      <c r="K128" s="614"/>
      <c r="L128" s="614"/>
      <c r="M128" s="614"/>
      <c r="N128" s="614"/>
      <c r="O128" s="614"/>
      <c r="P128" s="614"/>
    </row>
    <row r="129" spans="1:16" ht="36" x14ac:dyDescent="0.25">
      <c r="A129" s="619" t="s">
        <v>1108</v>
      </c>
      <c r="B129" s="619" t="s">
        <v>1176</v>
      </c>
      <c r="C129" s="619" t="s">
        <v>1177</v>
      </c>
      <c r="D129" s="620" t="s">
        <v>1178</v>
      </c>
      <c r="E129" s="619" t="s">
        <v>251</v>
      </c>
      <c r="F129" s="621"/>
      <c r="G129" s="622">
        <v>20.46</v>
      </c>
      <c r="H129" s="621">
        <v>2</v>
      </c>
      <c r="I129" s="622">
        <f>G129</f>
        <v>20.46</v>
      </c>
      <c r="J129" s="622">
        <v>0</v>
      </c>
      <c r="K129" s="622">
        <f>I129+J129</f>
        <v>20.46</v>
      </c>
      <c r="L129" s="622">
        <f>H129*I129</f>
        <v>40.92</v>
      </c>
      <c r="M129" s="622">
        <f>H129*J129</f>
        <v>0</v>
      </c>
      <c r="N129" s="622">
        <f>L129+M129</f>
        <v>40.92</v>
      </c>
      <c r="O129" s="622">
        <f>N129*$P$4</f>
        <v>10.049952000000001</v>
      </c>
      <c r="P129" s="622">
        <f>N129+O129</f>
        <v>50.969952000000006</v>
      </c>
    </row>
    <row r="130" spans="1:16" x14ac:dyDescent="0.25">
      <c r="A130" s="611"/>
      <c r="B130" s="611"/>
      <c r="C130" s="611"/>
      <c r="D130" s="629"/>
      <c r="E130" s="611"/>
      <c r="F130" s="613"/>
      <c r="G130" s="614"/>
      <c r="H130" s="613"/>
      <c r="I130" s="614"/>
      <c r="J130" s="614"/>
      <c r="K130" s="614"/>
      <c r="L130" s="614"/>
      <c r="M130" s="614"/>
      <c r="N130" s="614"/>
      <c r="O130" s="614"/>
      <c r="P130" s="614"/>
    </row>
    <row r="131" spans="1:16" ht="24" x14ac:dyDescent="0.25">
      <c r="A131" s="619" t="s">
        <v>1108</v>
      </c>
      <c r="B131" s="619" t="s">
        <v>1179</v>
      </c>
      <c r="C131" s="619" t="s">
        <v>1180</v>
      </c>
      <c r="D131" s="620" t="s">
        <v>1181</v>
      </c>
      <c r="E131" s="619" t="s">
        <v>251</v>
      </c>
      <c r="F131" s="621"/>
      <c r="G131" s="622"/>
      <c r="H131" s="621">
        <v>1</v>
      </c>
      <c r="I131" s="622">
        <v>24442.99</v>
      </c>
      <c r="J131" s="622">
        <f>SUM(J132:J135)</f>
        <v>270.35000000000002</v>
      </c>
      <c r="K131" s="622">
        <f>I131+J131</f>
        <v>24713.34</v>
      </c>
      <c r="L131" s="622">
        <f>H131*I131</f>
        <v>24442.99</v>
      </c>
      <c r="M131" s="622">
        <f>H131*J131</f>
        <v>270.35000000000002</v>
      </c>
      <c r="N131" s="622">
        <f>L131+M131</f>
        <v>24713.34</v>
      </c>
      <c r="O131" s="622">
        <f>N131*$P$4</f>
        <v>6069.5963040000006</v>
      </c>
      <c r="P131" s="622">
        <f>N131+O131</f>
        <v>30782.936304000003</v>
      </c>
    </row>
    <row r="132" spans="1:16" ht="72" x14ac:dyDescent="0.25">
      <c r="A132" s="611" t="s">
        <v>1108</v>
      </c>
      <c r="B132" s="611" t="s">
        <v>1179</v>
      </c>
      <c r="C132" s="611"/>
      <c r="D132" s="612" t="s">
        <v>1182</v>
      </c>
      <c r="E132" s="611" t="s">
        <v>251</v>
      </c>
      <c r="F132" s="613">
        <v>1</v>
      </c>
      <c r="G132" s="614">
        <v>24442.99</v>
      </c>
      <c r="H132" s="613"/>
      <c r="I132" s="623">
        <f t="shared" ref="I132" si="32">ROUND(F132*G132,2)</f>
        <v>24442.99</v>
      </c>
      <c r="J132" s="614"/>
      <c r="K132" s="614">
        <f t="shared" ref="K132:K135" si="33">I132+J132</f>
        <v>24442.99</v>
      </c>
      <c r="L132" s="614"/>
      <c r="M132" s="614"/>
      <c r="N132" s="614"/>
      <c r="O132" s="614"/>
      <c r="P132" s="614"/>
    </row>
    <row r="133" spans="1:16" ht="24" x14ac:dyDescent="0.25">
      <c r="A133" s="611" t="s">
        <v>277</v>
      </c>
      <c r="B133" s="611">
        <v>84141</v>
      </c>
      <c r="C133" s="611"/>
      <c r="D133" s="612" t="s">
        <v>1183</v>
      </c>
      <c r="E133" s="611" t="s">
        <v>229</v>
      </c>
      <c r="F133" s="613">
        <v>2</v>
      </c>
      <c r="G133" s="614">
        <v>96.4</v>
      </c>
      <c r="H133" s="613"/>
      <c r="I133" s="614"/>
      <c r="J133" s="614">
        <f>ROUND(F133*G133,2)</f>
        <v>192.8</v>
      </c>
      <c r="K133" s="614">
        <f t="shared" si="33"/>
        <v>192.8</v>
      </c>
      <c r="L133" s="614"/>
      <c r="M133" s="614"/>
      <c r="N133" s="614"/>
      <c r="O133" s="614"/>
      <c r="P133" s="614"/>
    </row>
    <row r="134" spans="1:16" x14ac:dyDescent="0.25">
      <c r="A134" s="611" t="s">
        <v>277</v>
      </c>
      <c r="B134" s="611">
        <v>2439</v>
      </c>
      <c r="C134" s="611"/>
      <c r="D134" s="612" t="s">
        <v>878</v>
      </c>
      <c r="E134" s="611" t="s">
        <v>229</v>
      </c>
      <c r="F134" s="613">
        <v>3</v>
      </c>
      <c r="G134" s="614">
        <v>16.2</v>
      </c>
      <c r="H134" s="613"/>
      <c r="I134" s="614"/>
      <c r="J134" s="614">
        <f>ROUND(F134*G134,2)</f>
        <v>48.6</v>
      </c>
      <c r="K134" s="614">
        <f t="shared" si="33"/>
        <v>48.6</v>
      </c>
      <c r="L134" s="614"/>
      <c r="M134" s="614"/>
      <c r="N134" s="614"/>
      <c r="O134" s="614"/>
      <c r="P134" s="614"/>
    </row>
    <row r="135" spans="1:16" x14ac:dyDescent="0.25">
      <c r="A135" s="611" t="s">
        <v>277</v>
      </c>
      <c r="B135" s="611">
        <v>247</v>
      </c>
      <c r="C135" s="611"/>
      <c r="D135" s="612" t="s">
        <v>1070</v>
      </c>
      <c r="E135" s="611" t="s">
        <v>229</v>
      </c>
      <c r="F135" s="613">
        <v>3</v>
      </c>
      <c r="G135" s="614">
        <v>9.65</v>
      </c>
      <c r="H135" s="613"/>
      <c r="I135" s="614"/>
      <c r="J135" s="614">
        <f>ROUND(F135*G135,2)</f>
        <v>28.95</v>
      </c>
      <c r="K135" s="614">
        <f t="shared" si="33"/>
        <v>28.95</v>
      </c>
      <c r="L135" s="614"/>
      <c r="M135" s="614"/>
      <c r="N135" s="614"/>
      <c r="O135" s="614"/>
      <c r="P135" s="614"/>
    </row>
    <row r="136" spans="1:16" x14ac:dyDescent="0.25">
      <c r="A136" s="611"/>
      <c r="B136" s="611"/>
      <c r="C136" s="611"/>
      <c r="D136" s="612"/>
      <c r="E136" s="611"/>
      <c r="F136" s="613"/>
      <c r="G136" s="614"/>
      <c r="H136" s="613"/>
      <c r="I136" s="614"/>
      <c r="J136" s="614"/>
      <c r="K136" s="614"/>
      <c r="L136" s="614"/>
      <c r="M136" s="614"/>
      <c r="N136" s="614"/>
      <c r="O136" s="614"/>
      <c r="P136" s="614"/>
    </row>
    <row r="137" spans="1:16" ht="36" x14ac:dyDescent="0.25">
      <c r="A137" s="619" t="s">
        <v>277</v>
      </c>
      <c r="B137" s="619">
        <v>72289</v>
      </c>
      <c r="C137" s="619" t="s">
        <v>1184</v>
      </c>
      <c r="D137" s="620" t="s">
        <v>1185</v>
      </c>
      <c r="E137" s="619" t="s">
        <v>251</v>
      </c>
      <c r="F137" s="621"/>
      <c r="G137" s="622"/>
      <c r="H137" s="621">
        <v>1</v>
      </c>
      <c r="I137" s="622">
        <v>98.84</v>
      </c>
      <c r="J137" s="622">
        <v>135.27000000000001</v>
      </c>
      <c r="K137" s="622">
        <f>I137+J137</f>
        <v>234.11</v>
      </c>
      <c r="L137" s="622">
        <f>H137*I137</f>
        <v>98.84</v>
      </c>
      <c r="M137" s="622">
        <f>H137*J137</f>
        <v>135.27000000000001</v>
      </c>
      <c r="N137" s="622">
        <f>L137+M137</f>
        <v>234.11</v>
      </c>
      <c r="O137" s="622">
        <f>N137*$P$4</f>
        <v>57.497416000000008</v>
      </c>
      <c r="P137" s="622">
        <f>N137+O137</f>
        <v>291.607416</v>
      </c>
    </row>
    <row r="138" spans="1:16" x14ac:dyDescent="0.25">
      <c r="A138" s="611"/>
      <c r="B138" s="611"/>
      <c r="C138" s="611"/>
      <c r="D138" s="612"/>
      <c r="E138" s="611"/>
      <c r="F138" s="613"/>
      <c r="G138" s="614"/>
      <c r="H138" s="613"/>
      <c r="I138" s="614"/>
      <c r="J138" s="614"/>
      <c r="K138" s="614"/>
      <c r="L138" s="614"/>
      <c r="M138" s="614"/>
      <c r="N138" s="614"/>
      <c r="O138" s="614"/>
      <c r="P138" s="614"/>
    </row>
    <row r="139" spans="1:16" x14ac:dyDescent="0.25">
      <c r="A139" s="619"/>
      <c r="B139" s="619"/>
      <c r="C139" s="619" t="s">
        <v>1186</v>
      </c>
      <c r="D139" s="620" t="s">
        <v>1187</v>
      </c>
      <c r="E139" s="619" t="s">
        <v>251</v>
      </c>
      <c r="F139" s="621"/>
      <c r="G139" s="622"/>
      <c r="H139" s="621">
        <v>2</v>
      </c>
      <c r="I139" s="622">
        <f>SUM(I140:I142)</f>
        <v>171.5</v>
      </c>
      <c r="J139" s="622">
        <f>SUM(J140:J142)</f>
        <v>22.22</v>
      </c>
      <c r="K139" s="622">
        <f>I139+J139</f>
        <v>193.72</v>
      </c>
      <c r="L139" s="622">
        <f>H139*I139</f>
        <v>343</v>
      </c>
      <c r="M139" s="622">
        <f>H139*J139</f>
        <v>44.44</v>
      </c>
      <c r="N139" s="622">
        <f>L139+M139</f>
        <v>387.44</v>
      </c>
      <c r="O139" s="622">
        <f>N139*$P$4</f>
        <v>95.155264000000003</v>
      </c>
      <c r="P139" s="622">
        <f>N139+O139</f>
        <v>482.59526399999999</v>
      </c>
    </row>
    <row r="140" spans="1:16" ht="24" x14ac:dyDescent="0.25">
      <c r="A140" s="611" t="s">
        <v>1108</v>
      </c>
      <c r="B140" s="611" t="s">
        <v>1188</v>
      </c>
      <c r="C140" s="611"/>
      <c r="D140" s="612" t="s">
        <v>1189</v>
      </c>
      <c r="E140" s="611" t="s">
        <v>251</v>
      </c>
      <c r="F140" s="613">
        <v>1</v>
      </c>
      <c r="G140" s="614">
        <v>171.5</v>
      </c>
      <c r="H140" s="613"/>
      <c r="I140" s="623">
        <f t="shared" ref="I140" si="34">ROUND(F140*G140,2)</f>
        <v>171.5</v>
      </c>
      <c r="J140" s="614"/>
      <c r="K140" s="614">
        <f t="shared" ref="K140:K142" si="35">I140+J140</f>
        <v>171.5</v>
      </c>
      <c r="L140" s="614"/>
      <c r="M140" s="614"/>
      <c r="N140" s="614"/>
      <c r="O140" s="614"/>
      <c r="P140" s="614"/>
    </row>
    <row r="141" spans="1:16" x14ac:dyDescent="0.25">
      <c r="A141" s="611" t="s">
        <v>277</v>
      </c>
      <c r="B141" s="611">
        <v>2436</v>
      </c>
      <c r="C141" s="611"/>
      <c r="D141" s="612" t="s">
        <v>1069</v>
      </c>
      <c r="E141" s="611" t="s">
        <v>229</v>
      </c>
      <c r="F141" s="613">
        <v>1</v>
      </c>
      <c r="G141" s="614">
        <v>12.57</v>
      </c>
      <c r="H141" s="613"/>
      <c r="I141" s="614"/>
      <c r="J141" s="614">
        <f>ROUND(F141*G141,2)</f>
        <v>12.57</v>
      </c>
      <c r="K141" s="614">
        <f t="shared" si="35"/>
        <v>12.57</v>
      </c>
      <c r="L141" s="614"/>
      <c r="M141" s="614"/>
      <c r="N141" s="614"/>
      <c r="O141" s="614"/>
      <c r="P141" s="614"/>
    </row>
    <row r="142" spans="1:16" x14ac:dyDescent="0.25">
      <c r="A142" s="611" t="s">
        <v>277</v>
      </c>
      <c r="B142" s="611">
        <v>247</v>
      </c>
      <c r="C142" s="611"/>
      <c r="D142" s="612" t="s">
        <v>1070</v>
      </c>
      <c r="E142" s="611" t="s">
        <v>229</v>
      </c>
      <c r="F142" s="613">
        <v>1</v>
      </c>
      <c r="G142" s="614">
        <v>9.65</v>
      </c>
      <c r="H142" s="613"/>
      <c r="I142" s="614"/>
      <c r="J142" s="614">
        <f>ROUND(F142*G142,2)</f>
        <v>9.65</v>
      </c>
      <c r="K142" s="614">
        <f t="shared" si="35"/>
        <v>9.65</v>
      </c>
      <c r="L142" s="614"/>
      <c r="M142" s="614"/>
      <c r="N142" s="614"/>
      <c r="O142" s="614"/>
      <c r="P142" s="614"/>
    </row>
    <row r="143" spans="1:16" x14ac:dyDescent="0.25">
      <c r="A143" s="619"/>
      <c r="B143" s="619"/>
      <c r="C143" s="619" t="s">
        <v>1190</v>
      </c>
      <c r="D143" s="620" t="s">
        <v>1191</v>
      </c>
      <c r="E143" s="619" t="s">
        <v>251</v>
      </c>
      <c r="F143" s="621"/>
      <c r="G143" s="622"/>
      <c r="H143" s="621">
        <v>1</v>
      </c>
      <c r="I143" s="622">
        <f>SUM(I144:I146)</f>
        <v>64.72</v>
      </c>
      <c r="J143" s="622">
        <f>SUM(J144:J146)</f>
        <v>22.22</v>
      </c>
      <c r="K143" s="622">
        <f>I143+J143</f>
        <v>86.94</v>
      </c>
      <c r="L143" s="622">
        <f>H143*I143</f>
        <v>64.72</v>
      </c>
      <c r="M143" s="622">
        <f>H143*J143</f>
        <v>22.22</v>
      </c>
      <c r="N143" s="622">
        <f>L143+M143</f>
        <v>86.94</v>
      </c>
      <c r="O143" s="622">
        <f>N143*$P$4</f>
        <v>21.352464000000001</v>
      </c>
      <c r="P143" s="622">
        <f>N143+O143</f>
        <v>108.292464</v>
      </c>
    </row>
    <row r="144" spans="1:16" ht="24" x14ac:dyDescent="0.25">
      <c r="A144" s="611" t="s">
        <v>1108</v>
      </c>
      <c r="B144" s="611" t="s">
        <v>1192</v>
      </c>
      <c r="C144" s="611"/>
      <c r="D144" s="625" t="s">
        <v>1193</v>
      </c>
      <c r="E144" s="611" t="s">
        <v>251</v>
      </c>
      <c r="F144" s="613">
        <v>1</v>
      </c>
      <c r="G144" s="614">
        <v>64.72</v>
      </c>
      <c r="H144" s="613"/>
      <c r="I144" s="623">
        <f t="shared" ref="I144" si="36">ROUND(F144*G144,2)</f>
        <v>64.72</v>
      </c>
      <c r="J144" s="614"/>
      <c r="K144" s="614">
        <f t="shared" ref="K144:K146" si="37">I144+J144</f>
        <v>64.72</v>
      </c>
      <c r="L144" s="614"/>
      <c r="M144" s="614"/>
      <c r="N144" s="614"/>
      <c r="O144" s="614"/>
      <c r="P144" s="614"/>
    </row>
    <row r="145" spans="1:16" x14ac:dyDescent="0.25">
      <c r="A145" s="611" t="s">
        <v>277</v>
      </c>
      <c r="B145" s="611">
        <v>2436</v>
      </c>
      <c r="C145" s="611"/>
      <c r="D145" s="612" t="s">
        <v>1069</v>
      </c>
      <c r="E145" s="611" t="s">
        <v>229</v>
      </c>
      <c r="F145" s="613">
        <v>1</v>
      </c>
      <c r="G145" s="614">
        <v>12.57</v>
      </c>
      <c r="H145" s="613"/>
      <c r="I145" s="614"/>
      <c r="J145" s="614">
        <f>ROUND(F145*G145,2)</f>
        <v>12.57</v>
      </c>
      <c r="K145" s="614">
        <f t="shared" si="37"/>
        <v>12.57</v>
      </c>
      <c r="L145" s="614"/>
      <c r="M145" s="614"/>
      <c r="N145" s="614"/>
      <c r="O145" s="614"/>
      <c r="P145" s="614"/>
    </row>
    <row r="146" spans="1:16" x14ac:dyDescent="0.25">
      <c r="A146" s="611" t="s">
        <v>277</v>
      </c>
      <c r="B146" s="611">
        <v>247</v>
      </c>
      <c r="C146" s="611"/>
      <c r="D146" s="612" t="s">
        <v>1070</v>
      </c>
      <c r="E146" s="611" t="s">
        <v>229</v>
      </c>
      <c r="F146" s="613">
        <v>1</v>
      </c>
      <c r="G146" s="614">
        <v>9.65</v>
      </c>
      <c r="H146" s="613"/>
      <c r="I146" s="614"/>
      <c r="J146" s="614">
        <f>ROUND(F146*G146,2)</f>
        <v>9.65</v>
      </c>
      <c r="K146" s="614">
        <f t="shared" si="37"/>
        <v>9.65</v>
      </c>
      <c r="L146" s="614"/>
      <c r="M146" s="614"/>
      <c r="N146" s="614"/>
      <c r="O146" s="614"/>
      <c r="P146" s="614"/>
    </row>
    <row r="147" spans="1:16" x14ac:dyDescent="0.25">
      <c r="A147" s="619"/>
      <c r="B147" s="619"/>
      <c r="C147" s="619" t="s">
        <v>1194</v>
      </c>
      <c r="D147" s="620" t="s">
        <v>1113</v>
      </c>
      <c r="E147" s="619"/>
      <c r="F147" s="621"/>
      <c r="G147" s="622"/>
      <c r="H147" s="621">
        <v>4</v>
      </c>
      <c r="I147" s="622">
        <f>SUM(I148:I150)</f>
        <v>129.9</v>
      </c>
      <c r="J147" s="622">
        <f>SUM(J148:J150)</f>
        <v>51.7</v>
      </c>
      <c r="K147" s="622">
        <f>I147+J147</f>
        <v>181.60000000000002</v>
      </c>
      <c r="L147" s="622">
        <f>H147*I147</f>
        <v>519.6</v>
      </c>
      <c r="M147" s="622">
        <f>H147*J147</f>
        <v>206.8</v>
      </c>
      <c r="N147" s="622">
        <f>L147+M147</f>
        <v>726.40000000000009</v>
      </c>
      <c r="O147" s="622">
        <f>N147*$P$4</f>
        <v>178.40384000000003</v>
      </c>
      <c r="P147" s="622">
        <f>N147+O147</f>
        <v>904.80384000000015</v>
      </c>
    </row>
    <row r="148" spans="1:16" x14ac:dyDescent="0.25">
      <c r="A148" s="611" t="s">
        <v>1108</v>
      </c>
      <c r="B148" s="611" t="s">
        <v>1109</v>
      </c>
      <c r="C148" s="611"/>
      <c r="D148" s="612" t="s">
        <v>1114</v>
      </c>
      <c r="E148" s="611" t="s">
        <v>251</v>
      </c>
      <c r="F148" s="613">
        <v>1</v>
      </c>
      <c r="G148" s="614">
        <v>129.9</v>
      </c>
      <c r="H148" s="613"/>
      <c r="I148" s="623">
        <f>ROUND(F148*G148,2)</f>
        <v>129.9</v>
      </c>
      <c r="J148" s="614"/>
      <c r="K148" s="614">
        <f t="shared" ref="K148:K150" si="38">I148+J148</f>
        <v>129.9</v>
      </c>
      <c r="L148" s="614"/>
      <c r="M148" s="614"/>
      <c r="N148" s="614"/>
      <c r="O148" s="614"/>
      <c r="P148" s="614"/>
    </row>
    <row r="149" spans="1:16" x14ac:dyDescent="0.25">
      <c r="A149" s="611" t="s">
        <v>277</v>
      </c>
      <c r="B149" s="611">
        <v>2439</v>
      </c>
      <c r="C149" s="611"/>
      <c r="D149" s="612" t="s">
        <v>878</v>
      </c>
      <c r="E149" s="611" t="s">
        <v>229</v>
      </c>
      <c r="F149" s="613">
        <v>2</v>
      </c>
      <c r="G149" s="614">
        <v>16.2</v>
      </c>
      <c r="H149" s="613"/>
      <c r="I149" s="614"/>
      <c r="J149" s="614">
        <f>ROUND(F149*G149,2)</f>
        <v>32.4</v>
      </c>
      <c r="K149" s="614">
        <f t="shared" si="38"/>
        <v>32.4</v>
      </c>
      <c r="L149" s="614"/>
      <c r="M149" s="614"/>
      <c r="N149" s="614"/>
      <c r="O149" s="614"/>
      <c r="P149" s="614"/>
    </row>
    <row r="150" spans="1:16" x14ac:dyDescent="0.25">
      <c r="A150" s="611" t="s">
        <v>277</v>
      </c>
      <c r="B150" s="611">
        <v>247</v>
      </c>
      <c r="C150" s="611"/>
      <c r="D150" s="612" t="s">
        <v>1070</v>
      </c>
      <c r="E150" s="611" t="s">
        <v>229</v>
      </c>
      <c r="F150" s="613">
        <v>2</v>
      </c>
      <c r="G150" s="614">
        <v>9.65</v>
      </c>
      <c r="H150" s="613"/>
      <c r="I150" s="614"/>
      <c r="J150" s="614">
        <f>ROUND(F150*G150,2)</f>
        <v>19.3</v>
      </c>
      <c r="K150" s="614">
        <f t="shared" si="38"/>
        <v>19.3</v>
      </c>
      <c r="L150" s="614"/>
      <c r="M150" s="614"/>
      <c r="N150" s="614"/>
      <c r="O150" s="614"/>
      <c r="P150" s="614"/>
    </row>
    <row r="151" spans="1:16" x14ac:dyDescent="0.25">
      <c r="A151" s="619"/>
      <c r="B151" s="619"/>
      <c r="C151" s="619" t="s">
        <v>1195</v>
      </c>
      <c r="D151" s="620" t="s">
        <v>1117</v>
      </c>
      <c r="E151" s="619"/>
      <c r="F151" s="621"/>
      <c r="G151" s="622"/>
      <c r="H151" s="621">
        <v>3</v>
      </c>
      <c r="I151" s="622">
        <f>SUM(I152:I154)</f>
        <v>139</v>
      </c>
      <c r="J151" s="622">
        <f>SUM(J152:J154)</f>
        <v>20.68</v>
      </c>
      <c r="K151" s="622">
        <f>I151+J151</f>
        <v>159.68</v>
      </c>
      <c r="L151" s="622">
        <f>H151*I151</f>
        <v>417</v>
      </c>
      <c r="M151" s="622">
        <f>H151*J151</f>
        <v>62.04</v>
      </c>
      <c r="N151" s="622">
        <f>L151+M151</f>
        <v>479.04</v>
      </c>
      <c r="O151" s="622">
        <f>N151*$P$4</f>
        <v>117.65222400000002</v>
      </c>
      <c r="P151" s="622">
        <f>N151+O151</f>
        <v>596.69222400000001</v>
      </c>
    </row>
    <row r="152" spans="1:16" x14ac:dyDescent="0.25">
      <c r="A152" s="611" t="s">
        <v>1108</v>
      </c>
      <c r="B152" s="611" t="s">
        <v>1109</v>
      </c>
      <c r="C152" s="611"/>
      <c r="D152" s="612" t="s">
        <v>1117</v>
      </c>
      <c r="E152" s="611" t="s">
        <v>251</v>
      </c>
      <c r="F152" s="613">
        <v>1</v>
      </c>
      <c r="G152" s="614">
        <v>139</v>
      </c>
      <c r="H152" s="613"/>
      <c r="I152" s="623">
        <f>ROUND(F152*G152,2)</f>
        <v>139</v>
      </c>
      <c r="J152" s="614"/>
      <c r="K152" s="614">
        <f t="shared" ref="K152:K154" si="39">I152+J152</f>
        <v>139</v>
      </c>
      <c r="L152" s="614"/>
      <c r="M152" s="614"/>
      <c r="N152" s="614"/>
      <c r="O152" s="614"/>
      <c r="P152" s="614"/>
    </row>
    <row r="153" spans="1:16" x14ac:dyDescent="0.25">
      <c r="A153" s="611" t="s">
        <v>277</v>
      </c>
      <c r="B153" s="611">
        <v>2439</v>
      </c>
      <c r="C153" s="611"/>
      <c r="D153" s="612" t="s">
        <v>878</v>
      </c>
      <c r="E153" s="611" t="s">
        <v>229</v>
      </c>
      <c r="F153" s="613">
        <v>0.8</v>
      </c>
      <c r="G153" s="614">
        <v>16.2</v>
      </c>
      <c r="H153" s="613"/>
      <c r="I153" s="614"/>
      <c r="J153" s="614">
        <f>ROUND(F153*G153,2)</f>
        <v>12.96</v>
      </c>
      <c r="K153" s="614">
        <f t="shared" si="39"/>
        <v>12.96</v>
      </c>
      <c r="L153" s="614"/>
      <c r="M153" s="614"/>
      <c r="N153" s="614"/>
      <c r="O153" s="614"/>
      <c r="P153" s="614"/>
    </row>
    <row r="154" spans="1:16" x14ac:dyDescent="0.25">
      <c r="A154" s="611" t="s">
        <v>277</v>
      </c>
      <c r="B154" s="611">
        <v>247</v>
      </c>
      <c r="C154" s="611"/>
      <c r="D154" s="612" t="s">
        <v>1070</v>
      </c>
      <c r="E154" s="611" t="s">
        <v>229</v>
      </c>
      <c r="F154" s="613">
        <v>0.8</v>
      </c>
      <c r="G154" s="614">
        <v>9.65</v>
      </c>
      <c r="H154" s="613"/>
      <c r="I154" s="614"/>
      <c r="J154" s="614">
        <f>ROUND(F154*G154,2)</f>
        <v>7.72</v>
      </c>
      <c r="K154" s="614">
        <f t="shared" si="39"/>
        <v>7.72</v>
      </c>
      <c r="L154" s="614"/>
      <c r="M154" s="614"/>
      <c r="N154" s="614"/>
      <c r="O154" s="614"/>
      <c r="P154" s="614"/>
    </row>
    <row r="155" spans="1:16" x14ac:dyDescent="0.25">
      <c r="A155" s="619"/>
      <c r="B155" s="619"/>
      <c r="C155" s="619" t="s">
        <v>1196</v>
      </c>
      <c r="D155" s="620" t="s">
        <v>1197</v>
      </c>
      <c r="E155" s="619" t="s">
        <v>248</v>
      </c>
      <c r="F155" s="621"/>
      <c r="G155" s="622"/>
      <c r="H155" s="621">
        <v>4</v>
      </c>
      <c r="I155" s="622">
        <v>23.67</v>
      </c>
      <c r="J155" s="622">
        <f>SUM(J156:J158)</f>
        <v>4.4399999999999995</v>
      </c>
      <c r="K155" s="622">
        <f>I155+J155</f>
        <v>28.11</v>
      </c>
      <c r="L155" s="622">
        <f>H155*I155</f>
        <v>94.68</v>
      </c>
      <c r="M155" s="622">
        <f>H155*J155</f>
        <v>17.759999999999998</v>
      </c>
      <c r="N155" s="622">
        <f>L155+M155</f>
        <v>112.44</v>
      </c>
      <c r="O155" s="622">
        <f>N155*$P$4</f>
        <v>27.615264</v>
      </c>
      <c r="P155" s="622">
        <f>N155+O155</f>
        <v>140.05526399999999</v>
      </c>
    </row>
    <row r="156" spans="1:16" x14ac:dyDescent="0.25">
      <c r="A156" s="611" t="s">
        <v>1108</v>
      </c>
      <c r="B156" s="611" t="s">
        <v>1109</v>
      </c>
      <c r="C156" s="611"/>
      <c r="D156" s="612" t="s">
        <v>1197</v>
      </c>
      <c r="E156" s="611" t="s">
        <v>248</v>
      </c>
      <c r="F156" s="613">
        <v>1</v>
      </c>
      <c r="G156" s="614">
        <v>23.67</v>
      </c>
      <c r="H156" s="613"/>
      <c r="I156" s="623">
        <f>ROUND(F156*G156,2)</f>
        <v>23.67</v>
      </c>
      <c r="J156" s="614"/>
      <c r="K156" s="614">
        <f t="shared" ref="K156:K158" si="40">I156+J156</f>
        <v>23.67</v>
      </c>
      <c r="L156" s="614"/>
      <c r="M156" s="614"/>
      <c r="N156" s="614"/>
      <c r="O156" s="614"/>
      <c r="P156" s="614"/>
    </row>
    <row r="157" spans="1:16" x14ac:dyDescent="0.25">
      <c r="A157" s="611" t="s">
        <v>277</v>
      </c>
      <c r="B157" s="611">
        <v>2436</v>
      </c>
      <c r="C157" s="611"/>
      <c r="D157" s="612" t="s">
        <v>1069</v>
      </c>
      <c r="E157" s="611" t="s">
        <v>229</v>
      </c>
      <c r="F157" s="613">
        <v>0.2</v>
      </c>
      <c r="G157" s="614">
        <v>12.57</v>
      </c>
      <c r="H157" s="613"/>
      <c r="I157" s="614"/>
      <c r="J157" s="614">
        <f>ROUND(F157*G157,2)</f>
        <v>2.5099999999999998</v>
      </c>
      <c r="K157" s="614">
        <f t="shared" si="40"/>
        <v>2.5099999999999998</v>
      </c>
      <c r="L157" s="614"/>
      <c r="M157" s="614"/>
      <c r="N157" s="614"/>
      <c r="O157" s="614"/>
      <c r="P157" s="614"/>
    </row>
    <row r="158" spans="1:16" x14ac:dyDescent="0.25">
      <c r="A158" s="611" t="s">
        <v>277</v>
      </c>
      <c r="B158" s="611">
        <v>247</v>
      </c>
      <c r="C158" s="611"/>
      <c r="D158" s="612" t="s">
        <v>1070</v>
      </c>
      <c r="E158" s="611" t="s">
        <v>229</v>
      </c>
      <c r="F158" s="613">
        <v>0.2</v>
      </c>
      <c r="G158" s="614">
        <v>9.65</v>
      </c>
      <c r="H158" s="613"/>
      <c r="I158" s="614"/>
      <c r="J158" s="614">
        <f>ROUND(F158*G158,2)</f>
        <v>1.93</v>
      </c>
      <c r="K158" s="614">
        <f t="shared" si="40"/>
        <v>1.93</v>
      </c>
      <c r="L158" s="614"/>
      <c r="M158" s="614"/>
      <c r="N158" s="614"/>
      <c r="O158" s="614"/>
      <c r="P158" s="614"/>
    </row>
    <row r="159" spans="1:16" ht="24" x14ac:dyDescent="0.25">
      <c r="A159" s="619"/>
      <c r="B159" s="619"/>
      <c r="C159" s="619" t="s">
        <v>1198</v>
      </c>
      <c r="D159" s="620" t="s">
        <v>1199</v>
      </c>
      <c r="E159" s="619" t="s">
        <v>251</v>
      </c>
      <c r="F159" s="621"/>
      <c r="G159" s="622"/>
      <c r="H159" s="621">
        <v>1</v>
      </c>
      <c r="I159" s="622">
        <f>SUM(I160:I162)</f>
        <v>85</v>
      </c>
      <c r="J159" s="622">
        <f>SUM(J160:J162)</f>
        <v>44.44</v>
      </c>
      <c r="K159" s="622">
        <f>I159+J159</f>
        <v>129.44</v>
      </c>
      <c r="L159" s="622">
        <f>H159*I159</f>
        <v>85</v>
      </c>
      <c r="M159" s="622">
        <f>H159*J159</f>
        <v>44.44</v>
      </c>
      <c r="N159" s="622">
        <f>L159+M159</f>
        <v>129.44</v>
      </c>
      <c r="O159" s="622">
        <f>N159*$P$4</f>
        <v>31.790464</v>
      </c>
      <c r="P159" s="622">
        <f>N159+O159</f>
        <v>161.23046399999998</v>
      </c>
    </row>
    <row r="160" spans="1:16" ht="36" x14ac:dyDescent="0.25">
      <c r="A160" s="611" t="s">
        <v>1200</v>
      </c>
      <c r="B160" s="611"/>
      <c r="C160" s="611"/>
      <c r="D160" s="625" t="s">
        <v>1201</v>
      </c>
      <c r="E160" s="611" t="s">
        <v>251</v>
      </c>
      <c r="F160" s="613">
        <v>1</v>
      </c>
      <c r="G160" s="614">
        <v>85</v>
      </c>
      <c r="H160" s="613">
        <v>1</v>
      </c>
      <c r="I160" s="623">
        <f>ROUND(F160*G160,2)</f>
        <v>85</v>
      </c>
      <c r="J160" s="614"/>
      <c r="K160" s="614"/>
      <c r="L160" s="614"/>
      <c r="M160" s="614"/>
      <c r="N160" s="614"/>
      <c r="O160" s="614"/>
      <c r="P160" s="614"/>
    </row>
    <row r="161" spans="1:16" x14ac:dyDescent="0.25">
      <c r="A161" s="611" t="s">
        <v>277</v>
      </c>
      <c r="B161" s="611">
        <v>2436</v>
      </c>
      <c r="C161" s="611"/>
      <c r="D161" s="612" t="s">
        <v>1069</v>
      </c>
      <c r="E161" s="611" t="s">
        <v>229</v>
      </c>
      <c r="F161" s="613">
        <v>2</v>
      </c>
      <c r="G161" s="614">
        <v>12.57</v>
      </c>
      <c r="H161" s="613"/>
      <c r="I161" s="614"/>
      <c r="J161" s="614">
        <f>ROUND(F161*G161,2)</f>
        <v>25.14</v>
      </c>
      <c r="K161" s="614">
        <f t="shared" ref="K161:K162" si="41">I161+J161</f>
        <v>25.14</v>
      </c>
      <c r="L161" s="614"/>
      <c r="M161" s="614"/>
      <c r="N161" s="614"/>
      <c r="O161" s="614"/>
      <c r="P161" s="614"/>
    </row>
    <row r="162" spans="1:16" x14ac:dyDescent="0.25">
      <c r="A162" s="611" t="s">
        <v>277</v>
      </c>
      <c r="B162" s="611">
        <v>247</v>
      </c>
      <c r="C162" s="611"/>
      <c r="D162" s="612" t="s">
        <v>1070</v>
      </c>
      <c r="E162" s="611" t="s">
        <v>229</v>
      </c>
      <c r="F162" s="613">
        <v>2</v>
      </c>
      <c r="G162" s="614">
        <v>9.65</v>
      </c>
      <c r="H162" s="613"/>
      <c r="I162" s="614"/>
      <c r="J162" s="614">
        <f>ROUND(F162*G162,2)</f>
        <v>19.3</v>
      </c>
      <c r="K162" s="614">
        <f t="shared" si="41"/>
        <v>19.3</v>
      </c>
      <c r="L162" s="614"/>
      <c r="M162" s="614"/>
      <c r="N162" s="614"/>
      <c r="O162" s="614"/>
      <c r="P162" s="614"/>
    </row>
    <row r="163" spans="1:16" x14ac:dyDescent="0.25">
      <c r="A163" s="619"/>
      <c r="B163" s="619"/>
      <c r="C163" s="619" t="s">
        <v>1202</v>
      </c>
      <c r="D163" s="620" t="s">
        <v>1203</v>
      </c>
      <c r="E163" s="619" t="s">
        <v>248</v>
      </c>
      <c r="F163" s="621"/>
      <c r="G163" s="622"/>
      <c r="H163" s="621">
        <v>22</v>
      </c>
      <c r="I163" s="622">
        <f>SUM(I164:I166)</f>
        <v>20.13</v>
      </c>
      <c r="J163" s="622">
        <f>SUM(J164:J166)</f>
        <v>44.44</v>
      </c>
      <c r="K163" s="622">
        <f>I163+J163</f>
        <v>64.569999999999993</v>
      </c>
      <c r="L163" s="622">
        <f>H163*I163</f>
        <v>442.85999999999996</v>
      </c>
      <c r="M163" s="622">
        <f>H163*J163</f>
        <v>977.68</v>
      </c>
      <c r="N163" s="622">
        <f>L163+M163</f>
        <v>1420.54</v>
      </c>
      <c r="O163" s="622">
        <f>N163*$P$4</f>
        <v>348.88462400000003</v>
      </c>
      <c r="P163" s="622">
        <f>N163+O163</f>
        <v>1769.424624</v>
      </c>
    </row>
    <row r="164" spans="1:16" x14ac:dyDescent="0.25">
      <c r="A164" s="611" t="s">
        <v>278</v>
      </c>
      <c r="B164" s="611" t="s">
        <v>1204</v>
      </c>
      <c r="C164" s="611"/>
      <c r="D164" s="612" t="s">
        <v>1203</v>
      </c>
      <c r="E164" s="611" t="s">
        <v>248</v>
      </c>
      <c r="F164" s="613">
        <v>1.1000000000000001</v>
      </c>
      <c r="G164" s="614">
        <v>18.3</v>
      </c>
      <c r="H164" s="613"/>
      <c r="I164" s="623">
        <f>ROUND(F164*G164,2)</f>
        <v>20.13</v>
      </c>
      <c r="J164" s="614"/>
      <c r="K164" s="614">
        <f t="shared" ref="K164:K171" si="42">I164+J164</f>
        <v>20.13</v>
      </c>
      <c r="L164" s="614"/>
      <c r="M164" s="614"/>
      <c r="N164" s="614"/>
      <c r="O164" s="614"/>
      <c r="P164" s="614"/>
    </row>
    <row r="165" spans="1:16" x14ac:dyDescent="0.25">
      <c r="A165" s="611" t="s">
        <v>277</v>
      </c>
      <c r="B165" s="611">
        <v>2436</v>
      </c>
      <c r="C165" s="611"/>
      <c r="D165" s="612" t="s">
        <v>1069</v>
      </c>
      <c r="E165" s="611" t="s">
        <v>229</v>
      </c>
      <c r="F165" s="613">
        <v>2</v>
      </c>
      <c r="G165" s="614">
        <v>12.57</v>
      </c>
      <c r="H165" s="613"/>
      <c r="I165" s="614"/>
      <c r="J165" s="614">
        <f>ROUND(F165*G165,2)</f>
        <v>25.14</v>
      </c>
      <c r="K165" s="614">
        <f t="shared" si="42"/>
        <v>25.14</v>
      </c>
      <c r="L165" s="614"/>
      <c r="M165" s="614"/>
      <c r="N165" s="614"/>
      <c r="O165" s="614"/>
      <c r="P165" s="614"/>
    </row>
    <row r="166" spans="1:16" x14ac:dyDescent="0.25">
      <c r="A166" s="611" t="s">
        <v>277</v>
      </c>
      <c r="B166" s="611">
        <v>247</v>
      </c>
      <c r="C166" s="611"/>
      <c r="D166" s="612" t="s">
        <v>1070</v>
      </c>
      <c r="E166" s="611" t="s">
        <v>229</v>
      </c>
      <c r="F166" s="613">
        <v>2</v>
      </c>
      <c r="G166" s="614">
        <v>9.65</v>
      </c>
      <c r="H166" s="613"/>
      <c r="I166" s="614"/>
      <c r="J166" s="614">
        <f>ROUND(F166*G166,2)</f>
        <v>19.3</v>
      </c>
      <c r="K166" s="614">
        <f t="shared" si="42"/>
        <v>19.3</v>
      </c>
      <c r="L166" s="614"/>
      <c r="M166" s="614"/>
      <c r="N166" s="614"/>
      <c r="O166" s="614"/>
      <c r="P166" s="614"/>
    </row>
    <row r="167" spans="1:16" ht="24" x14ac:dyDescent="0.25">
      <c r="A167" s="619"/>
      <c r="B167" s="619"/>
      <c r="C167" s="619" t="s">
        <v>1205</v>
      </c>
      <c r="D167" s="620" t="s">
        <v>1212</v>
      </c>
      <c r="E167" s="619" t="s">
        <v>248</v>
      </c>
      <c r="F167" s="621" t="s">
        <v>1207</v>
      </c>
      <c r="G167" s="622"/>
      <c r="H167" s="621">
        <v>330</v>
      </c>
      <c r="I167" s="622">
        <f>SUM(I168:I171)</f>
        <v>33.340000000000003</v>
      </c>
      <c r="J167" s="622">
        <f>SUM(J168:J171)</f>
        <v>8</v>
      </c>
      <c r="K167" s="622">
        <f>I167+J167</f>
        <v>41.34</v>
      </c>
      <c r="L167" s="622">
        <f>H167*I167</f>
        <v>11002.2</v>
      </c>
      <c r="M167" s="622">
        <f>H167*J167</f>
        <v>2640</v>
      </c>
      <c r="N167" s="622">
        <f>L167+M167</f>
        <v>13642.2</v>
      </c>
      <c r="O167" s="622">
        <f>N167*$P$4</f>
        <v>3350.5243200000004</v>
      </c>
      <c r="P167" s="622">
        <f>N167+O167</f>
        <v>16992.724320000001</v>
      </c>
    </row>
    <row r="168" spans="1:16" ht="48" x14ac:dyDescent="0.25">
      <c r="A168" s="611" t="s">
        <v>278</v>
      </c>
      <c r="B168" s="611" t="s">
        <v>1213</v>
      </c>
      <c r="C168" s="611"/>
      <c r="D168" s="612" t="s">
        <v>1214</v>
      </c>
      <c r="E168" s="611" t="s">
        <v>248</v>
      </c>
      <c r="F168" s="613">
        <v>1.02</v>
      </c>
      <c r="G168" s="614">
        <v>32.659999999999997</v>
      </c>
      <c r="H168" s="613"/>
      <c r="I168" s="614">
        <f>ROUND(F168*G168,2)</f>
        <v>33.31</v>
      </c>
      <c r="J168" s="614"/>
      <c r="K168" s="614">
        <f t="shared" si="42"/>
        <v>33.31</v>
      </c>
      <c r="L168" s="614"/>
      <c r="M168" s="614"/>
      <c r="N168" s="614"/>
      <c r="O168" s="614"/>
      <c r="P168" s="614"/>
    </row>
    <row r="169" spans="1:16" x14ac:dyDescent="0.25">
      <c r="A169" s="611" t="s">
        <v>277</v>
      </c>
      <c r="B169" s="611">
        <v>404</v>
      </c>
      <c r="C169" s="611"/>
      <c r="D169" s="612" t="s">
        <v>1210</v>
      </c>
      <c r="E169" s="611" t="s">
        <v>248</v>
      </c>
      <c r="F169" s="613">
        <v>0.01</v>
      </c>
      <c r="G169" s="614">
        <v>2.7</v>
      </c>
      <c r="H169" s="613"/>
      <c r="I169" s="614">
        <f>ROUND(F169*G169,2)</f>
        <v>0.03</v>
      </c>
      <c r="J169" s="614"/>
      <c r="K169" s="614">
        <f t="shared" si="42"/>
        <v>0.03</v>
      </c>
      <c r="L169" s="614"/>
      <c r="M169" s="614"/>
      <c r="N169" s="614"/>
      <c r="O169" s="614"/>
      <c r="P169" s="614"/>
    </row>
    <row r="170" spans="1:16" x14ac:dyDescent="0.25">
      <c r="A170" s="611" t="s">
        <v>277</v>
      </c>
      <c r="B170" s="611">
        <v>2436</v>
      </c>
      <c r="C170" s="611"/>
      <c r="D170" s="612" t="s">
        <v>1069</v>
      </c>
      <c r="E170" s="611" t="s">
        <v>229</v>
      </c>
      <c r="F170" s="613">
        <v>0.36</v>
      </c>
      <c r="G170" s="614">
        <v>12.57</v>
      </c>
      <c r="H170" s="613"/>
      <c r="I170" s="614"/>
      <c r="J170" s="614">
        <f>ROUND(F170*G170,2)</f>
        <v>4.53</v>
      </c>
      <c r="K170" s="614">
        <f t="shared" si="42"/>
        <v>4.53</v>
      </c>
      <c r="L170" s="614"/>
      <c r="M170" s="614"/>
      <c r="N170" s="614"/>
      <c r="O170" s="614"/>
      <c r="P170" s="614"/>
    </row>
    <row r="171" spans="1:16" x14ac:dyDescent="0.25">
      <c r="A171" s="611" t="s">
        <v>277</v>
      </c>
      <c r="B171" s="611">
        <v>247</v>
      </c>
      <c r="C171" s="611"/>
      <c r="D171" s="612" t="s">
        <v>1070</v>
      </c>
      <c r="E171" s="611" t="s">
        <v>229</v>
      </c>
      <c r="F171" s="613">
        <v>0.36</v>
      </c>
      <c r="G171" s="614">
        <v>9.65</v>
      </c>
      <c r="H171" s="613"/>
      <c r="I171" s="614"/>
      <c r="J171" s="614">
        <f>ROUND(F171*G171,2)</f>
        <v>3.47</v>
      </c>
      <c r="K171" s="614">
        <f t="shared" si="42"/>
        <v>3.47</v>
      </c>
      <c r="L171" s="614"/>
      <c r="M171" s="614"/>
      <c r="N171" s="614"/>
      <c r="O171" s="614"/>
      <c r="P171" s="614"/>
    </row>
    <row r="172" spans="1:16" ht="24" x14ac:dyDescent="0.25">
      <c r="A172" s="619"/>
      <c r="B172" s="619"/>
      <c r="C172" s="619" t="s">
        <v>1211</v>
      </c>
      <c r="D172" s="620" t="s">
        <v>1824</v>
      </c>
      <c r="E172" s="619"/>
      <c r="F172" s="621"/>
      <c r="G172" s="622"/>
      <c r="H172" s="621">
        <v>2</v>
      </c>
      <c r="I172" s="622">
        <f>SUM(I173:I176)</f>
        <v>238</v>
      </c>
      <c r="J172" s="622">
        <f>SUM(J173:J176)</f>
        <v>22.22</v>
      </c>
      <c r="K172" s="622">
        <f>I172+J172</f>
        <v>260.22000000000003</v>
      </c>
      <c r="L172" s="622">
        <f>H172*I172</f>
        <v>476</v>
      </c>
      <c r="M172" s="622">
        <f>H172*J172</f>
        <v>44.44</v>
      </c>
      <c r="N172" s="622">
        <f>L172+M172</f>
        <v>520.44000000000005</v>
      </c>
      <c r="O172" s="622">
        <f>N172*$P$4</f>
        <v>127.82006400000002</v>
      </c>
      <c r="P172" s="622">
        <f>N172+O172</f>
        <v>648.26006400000006</v>
      </c>
    </row>
    <row r="173" spans="1:16" ht="24" x14ac:dyDescent="0.25">
      <c r="A173" s="611" t="s">
        <v>1108</v>
      </c>
      <c r="B173" s="611" t="s">
        <v>1825</v>
      </c>
      <c r="C173" s="611"/>
      <c r="D173" s="612" t="s">
        <v>1824</v>
      </c>
      <c r="E173" s="611" t="s">
        <v>251</v>
      </c>
      <c r="F173" s="613">
        <v>1</v>
      </c>
      <c r="G173" s="614">
        <v>238</v>
      </c>
      <c r="H173" s="613"/>
      <c r="I173" s="614">
        <f>ROUND(F173*G173,2)</f>
        <v>238</v>
      </c>
      <c r="J173" s="614"/>
      <c r="K173" s="614"/>
      <c r="L173" s="614"/>
      <c r="M173" s="614"/>
      <c r="N173" s="614"/>
      <c r="O173" s="614"/>
      <c r="P173" s="614"/>
    </row>
    <row r="174" spans="1:16" x14ac:dyDescent="0.25">
      <c r="A174" s="611" t="s">
        <v>277</v>
      </c>
      <c r="B174" s="611">
        <v>2436</v>
      </c>
      <c r="C174" s="611"/>
      <c r="D174" s="612" t="s">
        <v>1069</v>
      </c>
      <c r="E174" s="611" t="s">
        <v>229</v>
      </c>
      <c r="F174" s="613">
        <v>1</v>
      </c>
      <c r="G174" s="614">
        <v>12.57</v>
      </c>
      <c r="H174" s="613"/>
      <c r="I174" s="614"/>
      <c r="J174" s="614">
        <f>ROUND(F174*G174,2)</f>
        <v>12.57</v>
      </c>
      <c r="K174" s="614">
        <f t="shared" ref="K174:K175" si="43">I174+J174</f>
        <v>12.57</v>
      </c>
      <c r="L174" s="614"/>
      <c r="M174" s="614"/>
      <c r="N174" s="614"/>
      <c r="O174" s="614"/>
      <c r="P174" s="614"/>
    </row>
    <row r="175" spans="1:16" x14ac:dyDescent="0.25">
      <c r="A175" s="611" t="s">
        <v>277</v>
      </c>
      <c r="B175" s="611">
        <v>247</v>
      </c>
      <c r="C175" s="611"/>
      <c r="D175" s="612" t="s">
        <v>1070</v>
      </c>
      <c r="E175" s="611" t="s">
        <v>229</v>
      </c>
      <c r="F175" s="613">
        <v>1</v>
      </c>
      <c r="G175" s="614">
        <v>9.65</v>
      </c>
      <c r="H175" s="613"/>
      <c r="I175" s="614"/>
      <c r="J175" s="614">
        <f>ROUND(F175*G175,2)</f>
        <v>9.65</v>
      </c>
      <c r="K175" s="614">
        <f t="shared" si="43"/>
        <v>9.65</v>
      </c>
      <c r="L175" s="614"/>
      <c r="M175" s="614"/>
      <c r="N175" s="614"/>
      <c r="O175" s="614"/>
      <c r="P175" s="614"/>
    </row>
    <row r="176" spans="1:16" x14ac:dyDescent="0.25">
      <c r="A176" s="611"/>
      <c r="B176" s="611"/>
      <c r="C176" s="611"/>
      <c r="D176" s="612"/>
      <c r="E176" s="611"/>
      <c r="F176" s="613"/>
      <c r="G176" s="614"/>
      <c r="H176" s="613"/>
      <c r="I176" s="614"/>
      <c r="J176" s="614"/>
      <c r="K176" s="614"/>
      <c r="L176" s="614"/>
      <c r="M176" s="614"/>
      <c r="N176" s="614"/>
      <c r="O176" s="614"/>
      <c r="P176" s="614"/>
    </row>
    <row r="177" spans="1:16" x14ac:dyDescent="0.25">
      <c r="A177" s="611"/>
      <c r="B177" s="611"/>
      <c r="C177" s="611"/>
      <c r="D177" s="629" t="s">
        <v>1215</v>
      </c>
      <c r="E177" s="611"/>
      <c r="F177" s="613"/>
      <c r="G177" s="614"/>
      <c r="H177" s="613"/>
      <c r="I177" s="614"/>
      <c r="J177" s="614"/>
      <c r="K177" s="614"/>
      <c r="L177" s="614"/>
      <c r="M177" s="614"/>
      <c r="N177" s="614"/>
      <c r="O177" s="614"/>
      <c r="P177" s="614"/>
    </row>
    <row r="178" spans="1:16" x14ac:dyDescent="0.25">
      <c r="A178" s="611"/>
      <c r="B178" s="611"/>
      <c r="C178" s="611"/>
      <c r="D178" s="629"/>
      <c r="E178" s="611"/>
      <c r="F178" s="613"/>
      <c r="G178" s="614"/>
      <c r="H178" s="613"/>
      <c r="I178" s="614"/>
      <c r="J178" s="614"/>
      <c r="K178" s="614"/>
      <c r="L178" s="614"/>
      <c r="M178" s="614"/>
      <c r="N178" s="614"/>
      <c r="O178" s="614"/>
      <c r="P178" s="614"/>
    </row>
    <row r="179" spans="1:16" x14ac:dyDescent="0.25">
      <c r="A179" s="619"/>
      <c r="B179" s="619"/>
      <c r="C179" s="619" t="s">
        <v>1216</v>
      </c>
      <c r="D179" s="620" t="s">
        <v>1217</v>
      </c>
      <c r="E179" s="619" t="s">
        <v>251</v>
      </c>
      <c r="F179" s="621"/>
      <c r="G179" s="622"/>
      <c r="H179" s="621">
        <v>1</v>
      </c>
      <c r="I179" s="622">
        <f>SUM(I180:I182)</f>
        <v>253.63</v>
      </c>
      <c r="J179" s="622">
        <f>SUM(J180:J182)</f>
        <v>22.22</v>
      </c>
      <c r="K179" s="622">
        <f>I179+J179</f>
        <v>275.85000000000002</v>
      </c>
      <c r="L179" s="622">
        <f>H179*I179</f>
        <v>253.63</v>
      </c>
      <c r="M179" s="622">
        <f>H179*J179</f>
        <v>22.22</v>
      </c>
      <c r="N179" s="622">
        <f>L179+M179</f>
        <v>275.85000000000002</v>
      </c>
      <c r="O179" s="622">
        <f>N179*$P$4</f>
        <v>67.748760000000004</v>
      </c>
      <c r="P179" s="622">
        <f>N179+O179</f>
        <v>343.59876000000003</v>
      </c>
    </row>
    <row r="180" spans="1:16" x14ac:dyDescent="0.25">
      <c r="A180" s="611" t="s">
        <v>1108</v>
      </c>
      <c r="B180" s="611" t="s">
        <v>1218</v>
      </c>
      <c r="C180" s="611"/>
      <c r="D180" s="612" t="s">
        <v>1217</v>
      </c>
      <c r="E180" s="611" t="s">
        <v>251</v>
      </c>
      <c r="F180" s="613">
        <v>1</v>
      </c>
      <c r="G180" s="614">
        <v>253.63</v>
      </c>
      <c r="H180" s="613"/>
      <c r="I180" s="614">
        <f>ROUND(F180*G180,2)</f>
        <v>253.63</v>
      </c>
      <c r="J180" s="614"/>
      <c r="K180" s="614">
        <f t="shared" ref="K180:K182" si="44">I180+J180</f>
        <v>253.63</v>
      </c>
      <c r="L180" s="614"/>
      <c r="M180" s="614"/>
      <c r="N180" s="614"/>
      <c r="O180" s="614"/>
      <c r="P180" s="614"/>
    </row>
    <row r="181" spans="1:16" x14ac:dyDescent="0.25">
      <c r="A181" s="611" t="s">
        <v>277</v>
      </c>
      <c r="B181" s="611">
        <v>2436</v>
      </c>
      <c r="C181" s="611"/>
      <c r="D181" s="612" t="s">
        <v>1069</v>
      </c>
      <c r="E181" s="611" t="s">
        <v>229</v>
      </c>
      <c r="F181" s="613">
        <v>1</v>
      </c>
      <c r="G181" s="614">
        <v>12.57</v>
      </c>
      <c r="H181" s="613"/>
      <c r="I181" s="614"/>
      <c r="J181" s="614">
        <f>ROUND(F181*G181,2)</f>
        <v>12.57</v>
      </c>
      <c r="K181" s="614">
        <f t="shared" si="44"/>
        <v>12.57</v>
      </c>
      <c r="L181" s="614"/>
      <c r="M181" s="614"/>
      <c r="N181" s="614"/>
      <c r="O181" s="614"/>
      <c r="P181" s="614"/>
    </row>
    <row r="182" spans="1:16" x14ac:dyDescent="0.25">
      <c r="A182" s="611" t="s">
        <v>277</v>
      </c>
      <c r="B182" s="611">
        <v>247</v>
      </c>
      <c r="C182" s="611"/>
      <c r="D182" s="612" t="s">
        <v>1070</v>
      </c>
      <c r="E182" s="611" t="s">
        <v>229</v>
      </c>
      <c r="F182" s="613">
        <v>1</v>
      </c>
      <c r="G182" s="614">
        <v>9.65</v>
      </c>
      <c r="H182" s="613"/>
      <c r="I182" s="614"/>
      <c r="J182" s="614">
        <f>ROUND(F182*G182,2)</f>
        <v>9.65</v>
      </c>
      <c r="K182" s="614">
        <f t="shared" si="44"/>
        <v>9.65</v>
      </c>
      <c r="L182" s="614"/>
      <c r="M182" s="614"/>
      <c r="N182" s="614"/>
      <c r="O182" s="614"/>
      <c r="P182" s="614"/>
    </row>
    <row r="183" spans="1:16" x14ac:dyDescent="0.25">
      <c r="A183" s="619"/>
      <c r="B183" s="619"/>
      <c r="C183" s="619" t="s">
        <v>1219</v>
      </c>
      <c r="D183" s="620" t="s">
        <v>1220</v>
      </c>
      <c r="E183" s="619" t="s">
        <v>251</v>
      </c>
      <c r="F183" s="621"/>
      <c r="G183" s="622"/>
      <c r="H183" s="621">
        <v>1</v>
      </c>
      <c r="I183" s="622">
        <f>SUM(I184:I186)</f>
        <v>334.44</v>
      </c>
      <c r="J183" s="622">
        <f>SUM(J184:J186)</f>
        <v>22.22</v>
      </c>
      <c r="K183" s="622">
        <f>I183+J183</f>
        <v>356.65999999999997</v>
      </c>
      <c r="L183" s="622">
        <f>H183*I183</f>
        <v>334.44</v>
      </c>
      <c r="M183" s="622">
        <f>H183*J183</f>
        <v>22.22</v>
      </c>
      <c r="N183" s="622">
        <f>L183+M183</f>
        <v>356.65999999999997</v>
      </c>
      <c r="O183" s="622">
        <f>N183*$P$4</f>
        <v>87.595696000000004</v>
      </c>
      <c r="P183" s="622">
        <f>N183+O183</f>
        <v>444.25569599999994</v>
      </c>
    </row>
    <row r="184" spans="1:16" x14ac:dyDescent="0.25">
      <c r="A184" s="611" t="s">
        <v>1108</v>
      </c>
      <c r="B184" s="611" t="s">
        <v>1218</v>
      </c>
      <c r="C184" s="611"/>
      <c r="D184" s="612" t="s">
        <v>1220</v>
      </c>
      <c r="E184" s="611" t="s">
        <v>251</v>
      </c>
      <c r="F184" s="613">
        <v>1</v>
      </c>
      <c r="G184" s="614">
        <v>334.44</v>
      </c>
      <c r="H184" s="613"/>
      <c r="I184" s="614">
        <f>ROUND(F184*G184,2)</f>
        <v>334.44</v>
      </c>
      <c r="J184" s="614"/>
      <c r="K184" s="614"/>
      <c r="L184" s="614"/>
      <c r="M184" s="614"/>
      <c r="N184" s="614"/>
      <c r="O184" s="614"/>
      <c r="P184" s="614"/>
    </row>
    <row r="185" spans="1:16" x14ac:dyDescent="0.25">
      <c r="A185" s="611" t="s">
        <v>277</v>
      </c>
      <c r="B185" s="611">
        <v>2436</v>
      </c>
      <c r="C185" s="611"/>
      <c r="D185" s="612" t="s">
        <v>1069</v>
      </c>
      <c r="E185" s="611" t="s">
        <v>229</v>
      </c>
      <c r="F185" s="613">
        <v>1</v>
      </c>
      <c r="G185" s="614">
        <v>12.57</v>
      </c>
      <c r="H185" s="613"/>
      <c r="I185" s="614"/>
      <c r="J185" s="614">
        <f>ROUND(F185*G185,2)</f>
        <v>12.57</v>
      </c>
      <c r="K185" s="614">
        <f t="shared" ref="K185:K186" si="45">I185+J185</f>
        <v>12.57</v>
      </c>
      <c r="L185" s="614"/>
      <c r="M185" s="614"/>
      <c r="N185" s="614"/>
      <c r="O185" s="614"/>
      <c r="P185" s="614"/>
    </row>
    <row r="186" spans="1:16" x14ac:dyDescent="0.25">
      <c r="A186" s="611" t="s">
        <v>277</v>
      </c>
      <c r="B186" s="611">
        <v>247</v>
      </c>
      <c r="C186" s="611"/>
      <c r="D186" s="612" t="s">
        <v>1070</v>
      </c>
      <c r="E186" s="611" t="s">
        <v>229</v>
      </c>
      <c r="F186" s="613">
        <v>1</v>
      </c>
      <c r="G186" s="614">
        <v>9.65</v>
      </c>
      <c r="H186" s="613"/>
      <c r="I186" s="614"/>
      <c r="J186" s="614">
        <f>ROUND(F186*G186,2)</f>
        <v>9.65</v>
      </c>
      <c r="K186" s="614">
        <f t="shared" si="45"/>
        <v>9.65</v>
      </c>
      <c r="L186" s="614"/>
      <c r="M186" s="614"/>
      <c r="N186" s="614"/>
      <c r="O186" s="614"/>
      <c r="P186" s="614"/>
    </row>
    <row r="187" spans="1:16" x14ac:dyDescent="0.25">
      <c r="A187" s="619"/>
      <c r="B187" s="619"/>
      <c r="C187" s="619" t="s">
        <v>1221</v>
      </c>
      <c r="D187" s="620" t="s">
        <v>1222</v>
      </c>
      <c r="E187" s="619" t="s">
        <v>251</v>
      </c>
      <c r="F187" s="621"/>
      <c r="G187" s="622"/>
      <c r="H187" s="621">
        <v>1</v>
      </c>
      <c r="I187" s="622">
        <f>SUM(I188:I191)</f>
        <v>2739.85</v>
      </c>
      <c r="J187" s="622">
        <f>SUM(J188:J191)</f>
        <v>33.340000000000003</v>
      </c>
      <c r="K187" s="622">
        <f>I187+J187</f>
        <v>2773.19</v>
      </c>
      <c r="L187" s="622">
        <f>H187*I187</f>
        <v>2739.85</v>
      </c>
      <c r="M187" s="622">
        <f>H187*J187</f>
        <v>33.340000000000003</v>
      </c>
      <c r="N187" s="622">
        <f>L187+M187</f>
        <v>2773.19</v>
      </c>
      <c r="O187" s="622">
        <f>N187*$P$4</f>
        <v>681.09546399999999</v>
      </c>
      <c r="P187" s="622">
        <f>N187+O187</f>
        <v>3454.285464</v>
      </c>
    </row>
    <row r="188" spans="1:16" x14ac:dyDescent="0.25">
      <c r="A188" s="611" t="s">
        <v>1108</v>
      </c>
      <c r="B188" s="611" t="s">
        <v>1218</v>
      </c>
      <c r="C188" s="611"/>
      <c r="D188" s="625" t="s">
        <v>1222</v>
      </c>
      <c r="E188" s="611" t="s">
        <v>251</v>
      </c>
      <c r="F188" s="613">
        <v>1</v>
      </c>
      <c r="G188" s="614">
        <v>1870</v>
      </c>
      <c r="H188" s="613"/>
      <c r="I188" s="614">
        <f>ROUND(F188*G188,2)</f>
        <v>1870</v>
      </c>
      <c r="J188" s="614"/>
      <c r="K188" s="614"/>
      <c r="L188" s="614"/>
      <c r="M188" s="614"/>
      <c r="N188" s="614"/>
      <c r="O188" s="614"/>
      <c r="P188" s="614"/>
    </row>
    <row r="189" spans="1:16" x14ac:dyDescent="0.25">
      <c r="A189" s="611" t="s">
        <v>277</v>
      </c>
      <c r="B189" s="611">
        <v>2379</v>
      </c>
      <c r="C189" s="611"/>
      <c r="D189" s="612" t="s">
        <v>1553</v>
      </c>
      <c r="E189" s="611" t="s">
        <v>251</v>
      </c>
      <c r="F189" s="613">
        <v>1</v>
      </c>
      <c r="G189" s="614">
        <v>869.85</v>
      </c>
      <c r="H189" s="613"/>
      <c r="I189" s="614">
        <f t="shared" ref="I189" si="46">ROUND(F189*G189,2)</f>
        <v>869.85</v>
      </c>
      <c r="J189" s="614"/>
      <c r="K189" s="614">
        <f t="shared" ref="K189" si="47">I189+J189</f>
        <v>869.85</v>
      </c>
      <c r="L189" s="614"/>
      <c r="M189" s="614"/>
      <c r="N189" s="614"/>
      <c r="O189" s="614"/>
      <c r="P189" s="614"/>
    </row>
    <row r="190" spans="1:16" x14ac:dyDescent="0.25">
      <c r="A190" s="611" t="s">
        <v>277</v>
      </c>
      <c r="B190" s="611">
        <v>2436</v>
      </c>
      <c r="C190" s="611"/>
      <c r="D190" s="612" t="s">
        <v>1069</v>
      </c>
      <c r="E190" s="611" t="s">
        <v>229</v>
      </c>
      <c r="F190" s="613">
        <v>1.5</v>
      </c>
      <c r="G190" s="614">
        <v>12.57</v>
      </c>
      <c r="H190" s="613"/>
      <c r="I190" s="614"/>
      <c r="J190" s="614">
        <f>ROUND(F190*G190,2)</f>
        <v>18.86</v>
      </c>
      <c r="K190" s="614">
        <f t="shared" ref="K190:K195" si="48">I190+J190</f>
        <v>18.86</v>
      </c>
      <c r="L190" s="614"/>
      <c r="M190" s="614"/>
      <c r="N190" s="614"/>
      <c r="O190" s="614"/>
      <c r="P190" s="614"/>
    </row>
    <row r="191" spans="1:16" x14ac:dyDescent="0.25">
      <c r="A191" s="611" t="s">
        <v>277</v>
      </c>
      <c r="B191" s="611">
        <v>247</v>
      </c>
      <c r="C191" s="611"/>
      <c r="D191" s="612" t="s">
        <v>1070</v>
      </c>
      <c r="E191" s="611" t="s">
        <v>229</v>
      </c>
      <c r="F191" s="613">
        <v>1.5</v>
      </c>
      <c r="G191" s="614">
        <v>9.65</v>
      </c>
      <c r="H191" s="613"/>
      <c r="I191" s="614"/>
      <c r="J191" s="614">
        <f>ROUND(F191*G191,2)</f>
        <v>14.48</v>
      </c>
      <c r="K191" s="614">
        <f t="shared" si="48"/>
        <v>14.48</v>
      </c>
      <c r="L191" s="614"/>
      <c r="M191" s="614"/>
      <c r="N191" s="614"/>
      <c r="O191" s="614"/>
      <c r="P191" s="614"/>
    </row>
    <row r="192" spans="1:16" ht="24" x14ac:dyDescent="0.25">
      <c r="A192" s="619"/>
      <c r="B192" s="619"/>
      <c r="C192" s="619" t="s">
        <v>1223</v>
      </c>
      <c r="D192" s="620" t="s">
        <v>1224</v>
      </c>
      <c r="E192" s="619" t="s">
        <v>248</v>
      </c>
      <c r="F192" s="621"/>
      <c r="G192" s="622"/>
      <c r="H192" s="621">
        <v>0.5</v>
      </c>
      <c r="I192" s="622">
        <f>SUM(I193:I195)</f>
        <v>3.49</v>
      </c>
      <c r="J192" s="622">
        <f>SUM(J193:J195)</f>
        <v>6.67</v>
      </c>
      <c r="K192" s="622">
        <f t="shared" si="48"/>
        <v>10.16</v>
      </c>
      <c r="L192" s="622">
        <f>H192*I192</f>
        <v>1.7450000000000001</v>
      </c>
      <c r="M192" s="622">
        <f>H192*J192</f>
        <v>3.335</v>
      </c>
      <c r="N192" s="622">
        <f>L192+M192</f>
        <v>5.08</v>
      </c>
      <c r="O192" s="622">
        <f>N192*$P$4</f>
        <v>1.2476480000000001</v>
      </c>
      <c r="P192" s="622">
        <f>N192+O192</f>
        <v>6.3276479999999999</v>
      </c>
    </row>
    <row r="193" spans="1:16" x14ac:dyDescent="0.25">
      <c r="A193" s="611" t="s">
        <v>1225</v>
      </c>
      <c r="B193" s="611" t="s">
        <v>1226</v>
      </c>
      <c r="C193" s="611"/>
      <c r="D193" s="612" t="s">
        <v>1227</v>
      </c>
      <c r="E193" s="611" t="s">
        <v>248</v>
      </c>
      <c r="F193" s="613">
        <v>1.1000000000000001</v>
      </c>
      <c r="G193" s="614">
        <v>3.17</v>
      </c>
      <c r="H193" s="613"/>
      <c r="I193" s="614">
        <f>ROUND(F193*G193,2)</f>
        <v>3.49</v>
      </c>
      <c r="J193" s="614"/>
      <c r="K193" s="614">
        <f t="shared" si="48"/>
        <v>3.49</v>
      </c>
      <c r="L193" s="614"/>
      <c r="M193" s="614"/>
      <c r="N193" s="614"/>
      <c r="O193" s="614"/>
      <c r="P193" s="614"/>
    </row>
    <row r="194" spans="1:16" x14ac:dyDescent="0.25">
      <c r="A194" s="611" t="s">
        <v>277</v>
      </c>
      <c r="B194" s="611">
        <v>2436</v>
      </c>
      <c r="C194" s="611"/>
      <c r="D194" s="612" t="s">
        <v>1069</v>
      </c>
      <c r="E194" s="611" t="s">
        <v>229</v>
      </c>
      <c r="F194" s="613">
        <v>0.3</v>
      </c>
      <c r="G194" s="614">
        <v>12.57</v>
      </c>
      <c r="H194" s="613"/>
      <c r="I194" s="614"/>
      <c r="J194" s="614">
        <f>ROUND(F194*G194,2)</f>
        <v>3.77</v>
      </c>
      <c r="K194" s="614">
        <f t="shared" si="48"/>
        <v>3.77</v>
      </c>
      <c r="L194" s="614"/>
      <c r="M194" s="614"/>
      <c r="N194" s="614"/>
      <c r="O194" s="614"/>
      <c r="P194" s="614"/>
    </row>
    <row r="195" spans="1:16" x14ac:dyDescent="0.25">
      <c r="A195" s="611" t="s">
        <v>277</v>
      </c>
      <c r="B195" s="611">
        <v>247</v>
      </c>
      <c r="C195" s="611"/>
      <c r="D195" s="612" t="s">
        <v>1070</v>
      </c>
      <c r="E195" s="611" t="s">
        <v>229</v>
      </c>
      <c r="F195" s="613">
        <v>0.3</v>
      </c>
      <c r="G195" s="614">
        <v>9.65</v>
      </c>
      <c r="H195" s="613"/>
      <c r="I195" s="614"/>
      <c r="J195" s="614">
        <f>ROUND(F195*G195,2)</f>
        <v>2.9</v>
      </c>
      <c r="K195" s="614">
        <f t="shared" si="48"/>
        <v>2.9</v>
      </c>
      <c r="L195" s="614"/>
      <c r="M195" s="614"/>
      <c r="N195" s="614"/>
      <c r="O195" s="614"/>
      <c r="P195" s="614"/>
    </row>
    <row r="196" spans="1:16" x14ac:dyDescent="0.25">
      <c r="A196" s="619"/>
      <c r="B196" s="619"/>
      <c r="C196" s="619" t="s">
        <v>1228</v>
      </c>
      <c r="D196" s="620" t="s">
        <v>1203</v>
      </c>
      <c r="E196" s="619" t="s">
        <v>248</v>
      </c>
      <c r="F196" s="621"/>
      <c r="G196" s="622"/>
      <c r="H196" s="621">
        <v>0.5</v>
      </c>
      <c r="I196" s="622">
        <f>SUM(I197:I199)</f>
        <v>20.13</v>
      </c>
      <c r="J196" s="622">
        <f>SUM(J197:J199)</f>
        <v>13.33</v>
      </c>
      <c r="K196" s="622">
        <f>I196+J196</f>
        <v>33.46</v>
      </c>
      <c r="L196" s="622">
        <f>H196*I196</f>
        <v>10.065</v>
      </c>
      <c r="M196" s="622">
        <f>H196*J196</f>
        <v>6.665</v>
      </c>
      <c r="N196" s="622">
        <f>L196+M196</f>
        <v>16.73</v>
      </c>
      <c r="O196" s="622">
        <f>N196*$P$4</f>
        <v>4.1088880000000003</v>
      </c>
      <c r="P196" s="622">
        <f>N196+O196</f>
        <v>20.838888000000001</v>
      </c>
    </row>
    <row r="197" spans="1:16" x14ac:dyDescent="0.25">
      <c r="A197" s="611" t="s">
        <v>278</v>
      </c>
      <c r="B197" s="611" t="s">
        <v>1204</v>
      </c>
      <c r="C197" s="611"/>
      <c r="D197" s="612" t="s">
        <v>1203</v>
      </c>
      <c r="E197" s="611" t="s">
        <v>248</v>
      </c>
      <c r="F197" s="613">
        <v>1.1000000000000001</v>
      </c>
      <c r="G197" s="614">
        <v>18.3</v>
      </c>
      <c r="H197" s="613"/>
      <c r="I197" s="623">
        <f>ROUND(F197*G197,2)</f>
        <v>20.13</v>
      </c>
      <c r="J197" s="614"/>
      <c r="K197" s="614">
        <f t="shared" ref="K197:K199" si="49">I197+J197</f>
        <v>20.13</v>
      </c>
      <c r="L197" s="614"/>
      <c r="M197" s="614"/>
      <c r="N197" s="614"/>
      <c r="O197" s="614"/>
      <c r="P197" s="614"/>
    </row>
    <row r="198" spans="1:16" x14ac:dyDescent="0.25">
      <c r="A198" s="611" t="s">
        <v>277</v>
      </c>
      <c r="B198" s="611">
        <v>2436</v>
      </c>
      <c r="C198" s="611"/>
      <c r="D198" s="612" t="s">
        <v>1069</v>
      </c>
      <c r="E198" s="611" t="s">
        <v>229</v>
      </c>
      <c r="F198" s="613">
        <v>0.6</v>
      </c>
      <c r="G198" s="614">
        <v>12.57</v>
      </c>
      <c r="H198" s="613"/>
      <c r="I198" s="614"/>
      <c r="J198" s="614">
        <f>ROUND(F198*G198,2)</f>
        <v>7.54</v>
      </c>
      <c r="K198" s="614">
        <f t="shared" si="49"/>
        <v>7.54</v>
      </c>
      <c r="L198" s="614"/>
      <c r="M198" s="614"/>
      <c r="N198" s="614"/>
      <c r="O198" s="614"/>
      <c r="P198" s="614"/>
    </row>
    <row r="199" spans="1:16" x14ac:dyDescent="0.25">
      <c r="A199" s="611" t="s">
        <v>277</v>
      </c>
      <c r="B199" s="611">
        <v>247</v>
      </c>
      <c r="C199" s="611"/>
      <c r="D199" s="612" t="s">
        <v>1070</v>
      </c>
      <c r="E199" s="611" t="s">
        <v>229</v>
      </c>
      <c r="F199" s="613">
        <v>0.6</v>
      </c>
      <c r="G199" s="614">
        <v>9.65</v>
      </c>
      <c r="H199" s="613"/>
      <c r="I199" s="614"/>
      <c r="J199" s="614">
        <f>ROUND(F199*G199,2)</f>
        <v>5.79</v>
      </c>
      <c r="K199" s="614">
        <f t="shared" si="49"/>
        <v>5.79</v>
      </c>
      <c r="L199" s="614"/>
      <c r="M199" s="614"/>
      <c r="N199" s="614"/>
      <c r="O199" s="614"/>
      <c r="P199" s="614"/>
    </row>
    <row r="200" spans="1:16" x14ac:dyDescent="0.25">
      <c r="A200" s="611"/>
      <c r="B200" s="611"/>
      <c r="C200" s="611"/>
      <c r="D200" s="625"/>
      <c r="E200" s="611"/>
      <c r="F200" s="613"/>
      <c r="G200" s="614"/>
      <c r="H200" s="613"/>
      <c r="I200" s="614"/>
      <c r="J200" s="614"/>
      <c r="K200" s="614"/>
      <c r="L200" s="614"/>
      <c r="M200" s="614"/>
      <c r="N200" s="614"/>
      <c r="O200" s="614"/>
      <c r="P200" s="614"/>
    </row>
    <row r="201" spans="1:16" x14ac:dyDescent="0.25">
      <c r="A201" s="611"/>
      <c r="B201" s="611"/>
      <c r="C201" s="611"/>
      <c r="D201" s="629" t="s">
        <v>1229</v>
      </c>
      <c r="E201" s="611"/>
      <c r="F201" s="613"/>
      <c r="G201" s="614"/>
      <c r="H201" s="613"/>
      <c r="I201" s="614"/>
      <c r="J201" s="614"/>
      <c r="K201" s="614"/>
      <c r="L201" s="614"/>
      <c r="M201" s="614"/>
      <c r="N201" s="614"/>
      <c r="O201" s="614"/>
      <c r="P201" s="614"/>
    </row>
    <row r="202" spans="1:16" x14ac:dyDescent="0.25">
      <c r="A202" s="611"/>
      <c r="B202" s="611"/>
      <c r="C202" s="611"/>
      <c r="D202" s="629"/>
      <c r="E202" s="611"/>
      <c r="F202" s="613"/>
      <c r="G202" s="614"/>
      <c r="H202" s="613"/>
      <c r="I202" s="614"/>
      <c r="J202" s="614"/>
      <c r="K202" s="614"/>
      <c r="L202" s="614"/>
      <c r="M202" s="614"/>
      <c r="N202" s="614"/>
      <c r="O202" s="614"/>
      <c r="P202" s="614"/>
    </row>
    <row r="203" spans="1:16" x14ac:dyDescent="0.25">
      <c r="A203" s="619"/>
      <c r="B203" s="619"/>
      <c r="C203" s="619" t="s">
        <v>1230</v>
      </c>
      <c r="D203" s="620" t="s">
        <v>1144</v>
      </c>
      <c r="E203" s="619" t="s">
        <v>248</v>
      </c>
      <c r="F203" s="621"/>
      <c r="G203" s="622"/>
      <c r="H203" s="621">
        <v>40</v>
      </c>
      <c r="I203" s="622">
        <f>SUM(I204:I206)</f>
        <v>7.73</v>
      </c>
      <c r="J203" s="622">
        <f>SUM(J204:J206)</f>
        <v>3.7800000000000002</v>
      </c>
      <c r="K203" s="622">
        <f>I203+J203</f>
        <v>11.510000000000002</v>
      </c>
      <c r="L203" s="622">
        <f>H203*I203</f>
        <v>309.20000000000005</v>
      </c>
      <c r="M203" s="622">
        <f>H203*J203</f>
        <v>151.20000000000002</v>
      </c>
      <c r="N203" s="622">
        <f>L203+M203</f>
        <v>460.40000000000009</v>
      </c>
      <c r="O203" s="622">
        <f>N203*$P$4</f>
        <v>113.07424000000003</v>
      </c>
      <c r="P203" s="622">
        <f>N203+O203</f>
        <v>573.47424000000012</v>
      </c>
    </row>
    <row r="204" spans="1:16" x14ac:dyDescent="0.25">
      <c r="A204" s="611" t="s">
        <v>277</v>
      </c>
      <c r="B204" s="611">
        <v>868</v>
      </c>
      <c r="C204" s="611"/>
      <c r="D204" s="612" t="s">
        <v>1144</v>
      </c>
      <c r="E204" s="611" t="s">
        <v>248</v>
      </c>
      <c r="F204" s="613">
        <v>1.02</v>
      </c>
      <c r="G204" s="614">
        <v>7.58</v>
      </c>
      <c r="H204" s="613"/>
      <c r="I204" s="623">
        <f>ROUND(F204*G204,2)</f>
        <v>7.73</v>
      </c>
      <c r="J204" s="614"/>
      <c r="K204" s="614">
        <f t="shared" ref="K204:K206" si="50">I204+J204</f>
        <v>7.73</v>
      </c>
      <c r="L204" s="614"/>
      <c r="M204" s="614"/>
      <c r="N204" s="614"/>
      <c r="O204" s="614"/>
      <c r="P204" s="614"/>
    </row>
    <row r="205" spans="1:16" x14ac:dyDescent="0.25">
      <c r="A205" s="611" t="s">
        <v>277</v>
      </c>
      <c r="B205" s="611">
        <v>2436</v>
      </c>
      <c r="C205" s="611"/>
      <c r="D205" s="612" t="s">
        <v>1069</v>
      </c>
      <c r="E205" s="611" t="s">
        <v>229</v>
      </c>
      <c r="F205" s="613">
        <v>0.17</v>
      </c>
      <c r="G205" s="614">
        <v>12.57</v>
      </c>
      <c r="H205" s="613"/>
      <c r="I205" s="614"/>
      <c r="J205" s="614">
        <f>ROUND(F205*G205,2)</f>
        <v>2.14</v>
      </c>
      <c r="K205" s="614">
        <f t="shared" si="50"/>
        <v>2.14</v>
      </c>
      <c r="L205" s="614"/>
      <c r="M205" s="614"/>
      <c r="N205" s="614"/>
      <c r="O205" s="614"/>
      <c r="P205" s="614"/>
    </row>
    <row r="206" spans="1:16" x14ac:dyDescent="0.25">
      <c r="A206" s="611" t="s">
        <v>277</v>
      </c>
      <c r="B206" s="611">
        <v>247</v>
      </c>
      <c r="C206" s="611"/>
      <c r="D206" s="612" t="s">
        <v>1070</v>
      </c>
      <c r="E206" s="611" t="s">
        <v>229</v>
      </c>
      <c r="F206" s="613">
        <v>0.17</v>
      </c>
      <c r="G206" s="614">
        <v>9.65</v>
      </c>
      <c r="H206" s="613"/>
      <c r="I206" s="614"/>
      <c r="J206" s="614">
        <f>ROUND(F206*G206,2)</f>
        <v>1.64</v>
      </c>
      <c r="K206" s="614">
        <f t="shared" si="50"/>
        <v>1.64</v>
      </c>
      <c r="L206" s="614"/>
      <c r="M206" s="614"/>
      <c r="N206" s="614"/>
      <c r="O206" s="614"/>
      <c r="P206" s="614"/>
    </row>
    <row r="207" spans="1:16" x14ac:dyDescent="0.25">
      <c r="A207" s="619"/>
      <c r="B207" s="619"/>
      <c r="C207" s="619" t="s">
        <v>1231</v>
      </c>
      <c r="D207" s="620" t="s">
        <v>1232</v>
      </c>
      <c r="E207" s="619" t="s">
        <v>248</v>
      </c>
      <c r="F207" s="621"/>
      <c r="G207" s="622"/>
      <c r="H207" s="621">
        <v>12</v>
      </c>
      <c r="I207" s="622">
        <v>12.72</v>
      </c>
      <c r="J207" s="622">
        <f>SUM(J208:J210)</f>
        <v>6.8900000000000006</v>
      </c>
      <c r="K207" s="622">
        <f>I207+J207</f>
        <v>19.61</v>
      </c>
      <c r="L207" s="622">
        <f>H207*I207</f>
        <v>152.64000000000001</v>
      </c>
      <c r="M207" s="622">
        <f>H207*J207</f>
        <v>82.68</v>
      </c>
      <c r="N207" s="622">
        <f>L207+M207</f>
        <v>235.32000000000002</v>
      </c>
      <c r="O207" s="622">
        <f>N207*$P$4</f>
        <v>57.794592000000009</v>
      </c>
      <c r="P207" s="622">
        <f>N207+O207</f>
        <v>293.11459200000002</v>
      </c>
    </row>
    <row r="208" spans="1:16" x14ac:dyDescent="0.25">
      <c r="A208" s="611" t="s">
        <v>277</v>
      </c>
      <c r="B208" s="611">
        <v>867</v>
      </c>
      <c r="C208" s="611"/>
      <c r="D208" s="612" t="s">
        <v>1232</v>
      </c>
      <c r="E208" s="611" t="s">
        <v>248</v>
      </c>
      <c r="F208" s="613">
        <v>1</v>
      </c>
      <c r="G208" s="614">
        <v>12.72</v>
      </c>
      <c r="H208" s="613"/>
      <c r="I208" s="623">
        <f>ROUND(F208*G208,2)</f>
        <v>12.72</v>
      </c>
      <c r="J208" s="614"/>
      <c r="K208" s="614">
        <f t="shared" ref="K208:K210" si="51">I208+J208</f>
        <v>12.72</v>
      </c>
      <c r="L208" s="614"/>
      <c r="M208" s="614"/>
      <c r="N208" s="614"/>
      <c r="O208" s="614"/>
      <c r="P208" s="614"/>
    </row>
    <row r="209" spans="1:16" x14ac:dyDescent="0.25">
      <c r="A209" s="611" t="s">
        <v>277</v>
      </c>
      <c r="B209" s="611">
        <v>2436</v>
      </c>
      <c r="C209" s="611"/>
      <c r="D209" s="612" t="s">
        <v>1069</v>
      </c>
      <c r="E209" s="611" t="s">
        <v>229</v>
      </c>
      <c r="F209" s="613">
        <v>0.31</v>
      </c>
      <c r="G209" s="614">
        <v>12.57</v>
      </c>
      <c r="H209" s="613"/>
      <c r="I209" s="614"/>
      <c r="J209" s="614">
        <f>ROUND(F209*G209,2)</f>
        <v>3.9</v>
      </c>
      <c r="K209" s="614">
        <f t="shared" si="51"/>
        <v>3.9</v>
      </c>
      <c r="L209" s="614"/>
      <c r="M209" s="614"/>
      <c r="N209" s="614"/>
      <c r="O209" s="614"/>
      <c r="P209" s="614"/>
    </row>
    <row r="210" spans="1:16" x14ac:dyDescent="0.25">
      <c r="A210" s="611" t="s">
        <v>277</v>
      </c>
      <c r="B210" s="611">
        <v>247</v>
      </c>
      <c r="C210" s="611"/>
      <c r="D210" s="612" t="s">
        <v>1070</v>
      </c>
      <c r="E210" s="611" t="s">
        <v>229</v>
      </c>
      <c r="F210" s="613">
        <v>0.31</v>
      </c>
      <c r="G210" s="614">
        <v>9.65</v>
      </c>
      <c r="H210" s="613"/>
      <c r="I210" s="614"/>
      <c r="J210" s="614">
        <f>ROUND(F210*G210,2)</f>
        <v>2.99</v>
      </c>
      <c r="K210" s="614">
        <f t="shared" si="51"/>
        <v>2.99</v>
      </c>
      <c r="L210" s="614"/>
      <c r="M210" s="614"/>
      <c r="N210" s="614"/>
      <c r="O210" s="614"/>
      <c r="P210" s="614"/>
    </row>
    <row r="211" spans="1:16" ht="24" x14ac:dyDescent="0.25">
      <c r="A211" s="619"/>
      <c r="B211" s="619"/>
      <c r="C211" s="619" t="s">
        <v>1233</v>
      </c>
      <c r="D211" s="620" t="s">
        <v>1212</v>
      </c>
      <c r="E211" s="619" t="s">
        <v>248</v>
      </c>
      <c r="F211" s="621" t="s">
        <v>1207</v>
      </c>
      <c r="G211" s="622"/>
      <c r="H211" s="621">
        <v>4</v>
      </c>
      <c r="I211" s="622">
        <f>SUM(I212:I215)</f>
        <v>33.340000000000003</v>
      </c>
      <c r="J211" s="622">
        <f>SUM(J212:J215)</f>
        <v>8</v>
      </c>
      <c r="K211" s="622">
        <f>I211+J211</f>
        <v>41.34</v>
      </c>
      <c r="L211" s="622">
        <f>H211*I211</f>
        <v>133.36000000000001</v>
      </c>
      <c r="M211" s="622">
        <f>H211*J211</f>
        <v>32</v>
      </c>
      <c r="N211" s="622">
        <f>L211+M211</f>
        <v>165.36</v>
      </c>
      <c r="O211" s="622">
        <f>N211*$P$4</f>
        <v>40.612416000000003</v>
      </c>
      <c r="P211" s="622">
        <f>N211+O211</f>
        <v>205.97241600000001</v>
      </c>
    </row>
    <row r="212" spans="1:16" ht="48" x14ac:dyDescent="0.25">
      <c r="A212" s="611" t="s">
        <v>278</v>
      </c>
      <c r="B212" s="611" t="s">
        <v>1213</v>
      </c>
      <c r="C212" s="611"/>
      <c r="D212" s="612" t="s">
        <v>1214</v>
      </c>
      <c r="E212" s="611" t="s">
        <v>248</v>
      </c>
      <c r="F212" s="613">
        <v>1.02</v>
      </c>
      <c r="G212" s="614">
        <v>32.659999999999997</v>
      </c>
      <c r="H212" s="613"/>
      <c r="I212" s="614">
        <f>ROUND(F212*G212,2)</f>
        <v>33.31</v>
      </c>
      <c r="J212" s="614"/>
      <c r="K212" s="614">
        <f t="shared" ref="K212:K223" si="52">I212+J212</f>
        <v>33.31</v>
      </c>
      <c r="L212" s="614"/>
      <c r="M212" s="614"/>
      <c r="N212" s="614"/>
      <c r="O212" s="614"/>
      <c r="P212" s="614"/>
    </row>
    <row r="213" spans="1:16" x14ac:dyDescent="0.25">
      <c r="A213" s="611" t="s">
        <v>277</v>
      </c>
      <c r="B213" s="611">
        <v>404</v>
      </c>
      <c r="C213" s="611"/>
      <c r="D213" s="612" t="s">
        <v>1210</v>
      </c>
      <c r="E213" s="611" t="s">
        <v>248</v>
      </c>
      <c r="F213" s="613">
        <v>0.01</v>
      </c>
      <c r="G213" s="614">
        <v>2.7</v>
      </c>
      <c r="H213" s="613"/>
      <c r="I213" s="614">
        <f>ROUND(F213*G213,2)</f>
        <v>0.03</v>
      </c>
      <c r="J213" s="614"/>
      <c r="K213" s="614">
        <f t="shared" si="52"/>
        <v>0.03</v>
      </c>
      <c r="L213" s="614"/>
      <c r="M213" s="614"/>
      <c r="N213" s="614"/>
      <c r="O213" s="614"/>
      <c r="P213" s="614"/>
    </row>
    <row r="214" spans="1:16" x14ac:dyDescent="0.25">
      <c r="A214" s="611" t="s">
        <v>277</v>
      </c>
      <c r="B214" s="611">
        <v>2436</v>
      </c>
      <c r="C214" s="611"/>
      <c r="D214" s="612" t="s">
        <v>1069</v>
      </c>
      <c r="E214" s="611" t="s">
        <v>229</v>
      </c>
      <c r="F214" s="613">
        <v>0.36</v>
      </c>
      <c r="G214" s="614">
        <v>12.57</v>
      </c>
      <c r="H214" s="613"/>
      <c r="I214" s="614"/>
      <c r="J214" s="614">
        <f>ROUND(F214*G214,2)</f>
        <v>4.53</v>
      </c>
      <c r="K214" s="614">
        <f t="shared" si="52"/>
        <v>4.53</v>
      </c>
      <c r="L214" s="614"/>
      <c r="M214" s="614"/>
      <c r="N214" s="614"/>
      <c r="O214" s="614"/>
      <c r="P214" s="614"/>
    </row>
    <row r="215" spans="1:16" x14ac:dyDescent="0.25">
      <c r="A215" s="611" t="s">
        <v>277</v>
      </c>
      <c r="B215" s="611">
        <v>247</v>
      </c>
      <c r="C215" s="611"/>
      <c r="D215" s="612" t="s">
        <v>1070</v>
      </c>
      <c r="E215" s="611" t="s">
        <v>229</v>
      </c>
      <c r="F215" s="613">
        <v>0.36</v>
      </c>
      <c r="G215" s="614">
        <v>9.65</v>
      </c>
      <c r="H215" s="613"/>
      <c r="I215" s="614"/>
      <c r="J215" s="614">
        <f>ROUND(F215*G215,2)</f>
        <v>3.47</v>
      </c>
      <c r="K215" s="614">
        <f t="shared" si="52"/>
        <v>3.47</v>
      </c>
      <c r="L215" s="614"/>
      <c r="M215" s="614"/>
      <c r="N215" s="614"/>
      <c r="O215" s="614"/>
      <c r="P215" s="614"/>
    </row>
    <row r="216" spans="1:16" ht="24" x14ac:dyDescent="0.25">
      <c r="A216" s="619"/>
      <c r="B216" s="619"/>
      <c r="C216" s="619" t="s">
        <v>1234</v>
      </c>
      <c r="D216" s="620" t="s">
        <v>1235</v>
      </c>
      <c r="E216" s="619" t="s">
        <v>248</v>
      </c>
      <c r="F216" s="621"/>
      <c r="G216" s="622"/>
      <c r="H216" s="621">
        <v>3</v>
      </c>
      <c r="I216" s="622">
        <f>SUM(I217:I219)</f>
        <v>4.8499999999999996</v>
      </c>
      <c r="J216" s="622">
        <f>SUM(J217:J219)</f>
        <v>10</v>
      </c>
      <c r="K216" s="622">
        <f t="shared" si="52"/>
        <v>14.85</v>
      </c>
      <c r="L216" s="622">
        <f>H216*I216</f>
        <v>14.549999999999999</v>
      </c>
      <c r="M216" s="622">
        <f>H216*J216</f>
        <v>30</v>
      </c>
      <c r="N216" s="622">
        <f>L216+M216</f>
        <v>44.55</v>
      </c>
      <c r="O216" s="622">
        <f>N216*$P$4</f>
        <v>10.94148</v>
      </c>
      <c r="P216" s="622">
        <f>N216+O216</f>
        <v>55.491479999999996</v>
      </c>
    </row>
    <row r="217" spans="1:16" x14ac:dyDescent="0.25">
      <c r="A217" s="611" t="s">
        <v>1225</v>
      </c>
      <c r="B217" s="611" t="s">
        <v>1236</v>
      </c>
      <c r="C217" s="611"/>
      <c r="D217" s="612" t="s">
        <v>1237</v>
      </c>
      <c r="E217" s="611" t="s">
        <v>248</v>
      </c>
      <c r="F217" s="613">
        <v>1.1000000000000001</v>
      </c>
      <c r="G217" s="614">
        <v>4.41</v>
      </c>
      <c r="H217" s="613"/>
      <c r="I217" s="614">
        <f>ROUND(F217*G217,2)</f>
        <v>4.8499999999999996</v>
      </c>
      <c r="J217" s="614"/>
      <c r="K217" s="614">
        <f t="shared" si="52"/>
        <v>4.8499999999999996</v>
      </c>
      <c r="L217" s="614"/>
      <c r="M217" s="614"/>
      <c r="N217" s="614"/>
      <c r="O217" s="614"/>
      <c r="P217" s="614"/>
    </row>
    <row r="218" spans="1:16" x14ac:dyDescent="0.25">
      <c r="A218" s="611" t="s">
        <v>277</v>
      </c>
      <c r="B218" s="611">
        <v>2436</v>
      </c>
      <c r="C218" s="611"/>
      <c r="D218" s="612" t="s">
        <v>1069</v>
      </c>
      <c r="E218" s="611" t="s">
        <v>229</v>
      </c>
      <c r="F218" s="613">
        <v>0.45</v>
      </c>
      <c r="G218" s="614">
        <v>12.57</v>
      </c>
      <c r="H218" s="613"/>
      <c r="I218" s="614"/>
      <c r="J218" s="614">
        <f>ROUND(F218*G218,2)</f>
        <v>5.66</v>
      </c>
      <c r="K218" s="614">
        <f t="shared" si="52"/>
        <v>5.66</v>
      </c>
      <c r="L218" s="614"/>
      <c r="M218" s="614"/>
      <c r="N218" s="614"/>
      <c r="O218" s="614"/>
      <c r="P218" s="614"/>
    </row>
    <row r="219" spans="1:16" x14ac:dyDescent="0.25">
      <c r="A219" s="611" t="s">
        <v>277</v>
      </c>
      <c r="B219" s="611">
        <v>247</v>
      </c>
      <c r="C219" s="611"/>
      <c r="D219" s="612" t="s">
        <v>1070</v>
      </c>
      <c r="E219" s="611" t="s">
        <v>229</v>
      </c>
      <c r="F219" s="613">
        <v>0.45</v>
      </c>
      <c r="G219" s="614">
        <v>9.65</v>
      </c>
      <c r="H219" s="613"/>
      <c r="I219" s="614"/>
      <c r="J219" s="614">
        <f>ROUND(F219*G219,2)</f>
        <v>4.34</v>
      </c>
      <c r="K219" s="614">
        <f t="shared" si="52"/>
        <v>4.34</v>
      </c>
      <c r="L219" s="614"/>
      <c r="M219" s="614"/>
      <c r="N219" s="614"/>
      <c r="O219" s="614"/>
      <c r="P219" s="614"/>
    </row>
    <row r="220" spans="1:16" ht="24" x14ac:dyDescent="0.25">
      <c r="A220" s="619"/>
      <c r="B220" s="619"/>
      <c r="C220" s="619" t="s">
        <v>1238</v>
      </c>
      <c r="D220" s="620" t="s">
        <v>1239</v>
      </c>
      <c r="E220" s="619" t="s">
        <v>251</v>
      </c>
      <c r="F220" s="621"/>
      <c r="G220" s="622"/>
      <c r="H220" s="621">
        <v>1</v>
      </c>
      <c r="I220" s="622">
        <v>93.81</v>
      </c>
      <c r="J220" s="622">
        <f>SUM(J221:J223)</f>
        <v>22.22</v>
      </c>
      <c r="K220" s="622">
        <f t="shared" si="52"/>
        <v>116.03</v>
      </c>
      <c r="L220" s="622">
        <f>H220*I220</f>
        <v>93.81</v>
      </c>
      <c r="M220" s="622">
        <f>H220*J220</f>
        <v>22.22</v>
      </c>
      <c r="N220" s="622">
        <f>L220+M220</f>
        <v>116.03</v>
      </c>
      <c r="O220" s="622">
        <f>N220*$P$4</f>
        <v>28.496968000000003</v>
      </c>
      <c r="P220" s="622">
        <f>N220+O220</f>
        <v>144.52696800000001</v>
      </c>
    </row>
    <row r="221" spans="1:16" ht="36" x14ac:dyDescent="0.25">
      <c r="A221" s="611" t="s">
        <v>1108</v>
      </c>
      <c r="B221" s="611" t="s">
        <v>1192</v>
      </c>
      <c r="C221" s="611"/>
      <c r="D221" s="625" t="s">
        <v>1240</v>
      </c>
      <c r="E221" s="611" t="s">
        <v>251</v>
      </c>
      <c r="F221" s="613">
        <v>1</v>
      </c>
      <c r="G221" s="614">
        <v>93.81</v>
      </c>
      <c r="H221" s="613"/>
      <c r="I221" s="614">
        <f>ROUND(F221*G221,2)</f>
        <v>93.81</v>
      </c>
      <c r="J221" s="614"/>
      <c r="K221" s="614">
        <f t="shared" si="52"/>
        <v>93.81</v>
      </c>
      <c r="L221" s="614"/>
      <c r="M221" s="614"/>
      <c r="N221" s="614"/>
      <c r="O221" s="614"/>
      <c r="P221" s="614"/>
    </row>
    <row r="222" spans="1:16" x14ac:dyDescent="0.25">
      <c r="A222" s="611" t="s">
        <v>277</v>
      </c>
      <c r="B222" s="611">
        <v>2436</v>
      </c>
      <c r="C222" s="611"/>
      <c r="D222" s="612" t="s">
        <v>1069</v>
      </c>
      <c r="E222" s="611" t="s">
        <v>229</v>
      </c>
      <c r="F222" s="613">
        <v>1</v>
      </c>
      <c r="G222" s="614">
        <v>12.57</v>
      </c>
      <c r="H222" s="613"/>
      <c r="I222" s="614"/>
      <c r="J222" s="614">
        <f>ROUND(F222*G222,2)</f>
        <v>12.57</v>
      </c>
      <c r="K222" s="614">
        <f t="shared" si="52"/>
        <v>12.57</v>
      </c>
      <c r="L222" s="614"/>
      <c r="M222" s="614"/>
      <c r="N222" s="614"/>
      <c r="O222" s="614"/>
      <c r="P222" s="614"/>
    </row>
    <row r="223" spans="1:16" x14ac:dyDescent="0.25">
      <c r="A223" s="611" t="s">
        <v>277</v>
      </c>
      <c r="B223" s="611">
        <v>247</v>
      </c>
      <c r="C223" s="611"/>
      <c r="D223" s="612" t="s">
        <v>1070</v>
      </c>
      <c r="E223" s="611" t="s">
        <v>229</v>
      </c>
      <c r="F223" s="613">
        <v>1</v>
      </c>
      <c r="G223" s="614">
        <v>9.65</v>
      </c>
      <c r="H223" s="613"/>
      <c r="I223" s="614"/>
      <c r="J223" s="614">
        <f>ROUND(F223*G223,2)</f>
        <v>9.65</v>
      </c>
      <c r="K223" s="614">
        <f t="shared" si="52"/>
        <v>9.65</v>
      </c>
      <c r="L223" s="614"/>
      <c r="M223" s="614"/>
      <c r="N223" s="614"/>
      <c r="O223" s="614"/>
      <c r="P223" s="614"/>
    </row>
    <row r="224" spans="1:16" x14ac:dyDescent="0.25">
      <c r="A224" s="619"/>
      <c r="B224" s="619"/>
      <c r="C224" s="619" t="s">
        <v>1241</v>
      </c>
      <c r="D224" s="620" t="s">
        <v>1146</v>
      </c>
      <c r="E224" s="619" t="s">
        <v>251</v>
      </c>
      <c r="F224" s="621"/>
      <c r="G224" s="622"/>
      <c r="H224" s="621">
        <v>5</v>
      </c>
      <c r="I224" s="622">
        <f>SUM(I225:I228)</f>
        <v>34.79</v>
      </c>
      <c r="J224" s="622">
        <f>SUM(J225:J228)</f>
        <v>8.89</v>
      </c>
      <c r="K224" s="622">
        <f>I224+J224</f>
        <v>43.68</v>
      </c>
      <c r="L224" s="622">
        <f>H224*I224</f>
        <v>173.95</v>
      </c>
      <c r="M224" s="622">
        <f>H224*J224</f>
        <v>44.45</v>
      </c>
      <c r="N224" s="622">
        <f>L224+M224</f>
        <v>218.39999999999998</v>
      </c>
      <c r="O224" s="622">
        <f>N224*$P$4</f>
        <v>53.639039999999994</v>
      </c>
      <c r="P224" s="622">
        <f>N224+O224</f>
        <v>272.03904</v>
      </c>
    </row>
    <row r="225" spans="1:16" x14ac:dyDescent="0.25">
      <c r="A225" s="611" t="s">
        <v>1108</v>
      </c>
      <c r="B225" s="611" t="s">
        <v>1147</v>
      </c>
      <c r="C225" s="611"/>
      <c r="D225" s="612" t="s">
        <v>1146</v>
      </c>
      <c r="E225" s="611" t="s">
        <v>251</v>
      </c>
      <c r="F225" s="613">
        <v>1</v>
      </c>
      <c r="G225" s="614">
        <v>32.119999999999997</v>
      </c>
      <c r="H225" s="613"/>
      <c r="I225" s="623">
        <f>ROUND(F225*G225,2)</f>
        <v>32.119999999999997</v>
      </c>
      <c r="J225" s="614"/>
      <c r="K225" s="614">
        <f t="shared" ref="K225" si="53">I225+J225</f>
        <v>32.119999999999997</v>
      </c>
      <c r="L225" s="614"/>
      <c r="M225" s="614"/>
      <c r="N225" s="614"/>
      <c r="O225" s="614"/>
      <c r="P225" s="614"/>
    </row>
    <row r="226" spans="1:16" x14ac:dyDescent="0.25">
      <c r="A226" s="611" t="s">
        <v>277</v>
      </c>
      <c r="B226" s="611">
        <v>425</v>
      </c>
      <c r="C226" s="611"/>
      <c r="D226" s="612" t="s">
        <v>1148</v>
      </c>
      <c r="E226" s="611" t="s">
        <v>251</v>
      </c>
      <c r="F226" s="613">
        <v>1</v>
      </c>
      <c r="G226" s="614">
        <v>2.67</v>
      </c>
      <c r="H226" s="613"/>
      <c r="I226" s="623">
        <f>ROUND(F226*G226,2)</f>
        <v>2.67</v>
      </c>
      <c r="J226" s="614"/>
      <c r="K226" s="614"/>
      <c r="L226" s="614"/>
      <c r="M226" s="614"/>
      <c r="N226" s="614"/>
      <c r="O226" s="614"/>
      <c r="P226" s="614"/>
    </row>
    <row r="227" spans="1:16" x14ac:dyDescent="0.25">
      <c r="A227" s="611" t="s">
        <v>277</v>
      </c>
      <c r="B227" s="611">
        <v>2436</v>
      </c>
      <c r="C227" s="611"/>
      <c r="D227" s="612" t="s">
        <v>1069</v>
      </c>
      <c r="E227" s="611" t="s">
        <v>229</v>
      </c>
      <c r="F227" s="613">
        <v>0.4</v>
      </c>
      <c r="G227" s="614">
        <v>12.57</v>
      </c>
      <c r="H227" s="613"/>
      <c r="I227" s="614"/>
      <c r="J227" s="614">
        <f>ROUND(F227*G227,2)</f>
        <v>5.03</v>
      </c>
      <c r="K227" s="614">
        <f t="shared" ref="K227:K228" si="54">I227+J227</f>
        <v>5.03</v>
      </c>
      <c r="L227" s="614"/>
      <c r="M227" s="614"/>
      <c r="N227" s="614"/>
      <c r="O227" s="614"/>
      <c r="P227" s="614"/>
    </row>
    <row r="228" spans="1:16" x14ac:dyDescent="0.25">
      <c r="A228" s="611" t="s">
        <v>277</v>
      </c>
      <c r="B228" s="611">
        <v>247</v>
      </c>
      <c r="C228" s="611"/>
      <c r="D228" s="612" t="s">
        <v>1070</v>
      </c>
      <c r="E228" s="611" t="s">
        <v>229</v>
      </c>
      <c r="F228" s="613">
        <v>0.4</v>
      </c>
      <c r="G228" s="614">
        <v>9.65</v>
      </c>
      <c r="H228" s="613"/>
      <c r="I228" s="614"/>
      <c r="J228" s="614">
        <f>ROUND(F228*G228,2)</f>
        <v>3.86</v>
      </c>
      <c r="K228" s="614">
        <f t="shared" si="54"/>
        <v>3.86</v>
      </c>
      <c r="L228" s="614"/>
      <c r="M228" s="614"/>
      <c r="N228" s="614"/>
      <c r="O228" s="614"/>
      <c r="P228" s="614"/>
    </row>
    <row r="229" spans="1:16" x14ac:dyDescent="0.25">
      <c r="A229" s="619"/>
      <c r="B229" s="619"/>
      <c r="C229" s="619" t="s">
        <v>1242</v>
      </c>
      <c r="D229" s="620" t="s">
        <v>1243</v>
      </c>
      <c r="E229" s="619" t="s">
        <v>251</v>
      </c>
      <c r="F229" s="621"/>
      <c r="G229" s="622"/>
      <c r="H229" s="621">
        <v>1</v>
      </c>
      <c r="I229" s="622">
        <f>SUM(I230:I233)</f>
        <v>205.74</v>
      </c>
      <c r="J229" s="622">
        <f>SUM(J230:J233)</f>
        <v>22.22</v>
      </c>
      <c r="K229" s="622">
        <f>I229+J229</f>
        <v>227.96</v>
      </c>
      <c r="L229" s="622">
        <f>H229*I229</f>
        <v>205.74</v>
      </c>
      <c r="M229" s="622">
        <f>H229*J229</f>
        <v>22.22</v>
      </c>
      <c r="N229" s="622">
        <f>L229+M229</f>
        <v>227.96</v>
      </c>
      <c r="O229" s="622">
        <f>N229*$P$4</f>
        <v>55.986976000000006</v>
      </c>
      <c r="P229" s="622">
        <f>N229+O229</f>
        <v>283.94697600000001</v>
      </c>
    </row>
    <row r="230" spans="1:16" ht="36" x14ac:dyDescent="0.25">
      <c r="A230" s="611" t="s">
        <v>1108</v>
      </c>
      <c r="B230" s="611" t="s">
        <v>1192</v>
      </c>
      <c r="C230" s="611"/>
      <c r="D230" s="625" t="s">
        <v>1244</v>
      </c>
      <c r="E230" s="611" t="s">
        <v>251</v>
      </c>
      <c r="F230" s="613">
        <v>1</v>
      </c>
      <c r="G230" s="614">
        <v>205.06</v>
      </c>
      <c r="H230" s="613"/>
      <c r="I230" s="623">
        <f>ROUND(F230*G230,2)</f>
        <v>205.06</v>
      </c>
      <c r="J230" s="614"/>
      <c r="K230" s="614">
        <f t="shared" ref="K230:K233" si="55">I230+J230</f>
        <v>205.06</v>
      </c>
      <c r="L230" s="614"/>
      <c r="M230" s="614"/>
      <c r="N230" s="614"/>
      <c r="O230" s="614"/>
      <c r="P230" s="614"/>
    </row>
    <row r="231" spans="1:16" x14ac:dyDescent="0.25">
      <c r="A231" s="611" t="s">
        <v>277</v>
      </c>
      <c r="B231" s="611">
        <v>7583</v>
      </c>
      <c r="C231" s="611"/>
      <c r="D231" s="612" t="s">
        <v>1245</v>
      </c>
      <c r="E231" s="611" t="s">
        <v>251</v>
      </c>
      <c r="F231" s="613">
        <v>4</v>
      </c>
      <c r="G231" s="614">
        <v>0.17</v>
      </c>
      <c r="H231" s="613"/>
      <c r="I231" s="614">
        <f>ROUND(F231*G231,2)</f>
        <v>0.68</v>
      </c>
      <c r="J231" s="614"/>
      <c r="K231" s="614">
        <f t="shared" si="55"/>
        <v>0.68</v>
      </c>
      <c r="L231" s="614"/>
      <c r="M231" s="614"/>
      <c r="N231" s="614"/>
      <c r="O231" s="614"/>
      <c r="P231" s="614"/>
    </row>
    <row r="232" spans="1:16" x14ac:dyDescent="0.25">
      <c r="A232" s="611" t="s">
        <v>277</v>
      </c>
      <c r="B232" s="611">
        <v>2436</v>
      </c>
      <c r="C232" s="611"/>
      <c r="D232" s="612" t="s">
        <v>1069</v>
      </c>
      <c r="E232" s="611" t="s">
        <v>229</v>
      </c>
      <c r="F232" s="613">
        <v>1</v>
      </c>
      <c r="G232" s="614">
        <v>12.57</v>
      </c>
      <c r="H232" s="613"/>
      <c r="I232" s="614"/>
      <c r="J232" s="614">
        <f>ROUND(F232*G232,2)</f>
        <v>12.57</v>
      </c>
      <c r="K232" s="614">
        <f t="shared" si="55"/>
        <v>12.57</v>
      </c>
      <c r="L232" s="614"/>
      <c r="M232" s="614"/>
      <c r="N232" s="614"/>
      <c r="O232" s="614"/>
      <c r="P232" s="614"/>
    </row>
    <row r="233" spans="1:16" x14ac:dyDescent="0.25">
      <c r="A233" s="611" t="s">
        <v>277</v>
      </c>
      <c r="B233" s="611">
        <v>247</v>
      </c>
      <c r="C233" s="611"/>
      <c r="D233" s="612" t="s">
        <v>1070</v>
      </c>
      <c r="E233" s="611" t="s">
        <v>229</v>
      </c>
      <c r="F233" s="613">
        <v>1</v>
      </c>
      <c r="G233" s="614">
        <v>9.65</v>
      </c>
      <c r="H233" s="613"/>
      <c r="I233" s="614"/>
      <c r="J233" s="614">
        <f>ROUND(F233*G233,2)</f>
        <v>9.65</v>
      </c>
      <c r="K233" s="614">
        <f t="shared" si="55"/>
        <v>9.65</v>
      </c>
      <c r="L233" s="614"/>
      <c r="M233" s="614"/>
      <c r="N233" s="614"/>
      <c r="O233" s="614"/>
      <c r="P233" s="614"/>
    </row>
    <row r="234" spans="1:16" x14ac:dyDescent="0.25">
      <c r="A234" s="611"/>
      <c r="B234" s="611"/>
      <c r="C234" s="611"/>
      <c r="D234" s="612"/>
      <c r="E234" s="611"/>
      <c r="F234" s="613"/>
      <c r="G234" s="614"/>
      <c r="H234" s="613"/>
      <c r="I234" s="614"/>
      <c r="J234" s="614"/>
      <c r="K234" s="614"/>
      <c r="L234" s="614"/>
      <c r="M234" s="614"/>
      <c r="N234" s="614"/>
      <c r="O234" s="614"/>
      <c r="P234" s="614"/>
    </row>
    <row r="235" spans="1:16" x14ac:dyDescent="0.25">
      <c r="A235" s="619"/>
      <c r="B235" s="619"/>
      <c r="C235" s="615" t="s">
        <v>1246</v>
      </c>
      <c r="D235" s="628" t="s">
        <v>1247</v>
      </c>
      <c r="E235" s="619"/>
      <c r="F235" s="621"/>
      <c r="G235" s="622"/>
      <c r="H235" s="621"/>
      <c r="I235" s="622"/>
      <c r="J235" s="622"/>
      <c r="K235" s="622"/>
      <c r="L235" s="622"/>
      <c r="M235" s="622"/>
      <c r="N235" s="622"/>
      <c r="O235" s="622"/>
      <c r="P235" s="617">
        <f>SUM(P239:P452)</f>
        <v>56081.881943999993</v>
      </c>
    </row>
    <row r="236" spans="1:16" x14ac:dyDescent="0.25">
      <c r="A236" s="611"/>
      <c r="B236" s="611"/>
      <c r="C236" s="611"/>
      <c r="D236" s="612"/>
      <c r="E236" s="611"/>
      <c r="F236" s="613"/>
      <c r="G236" s="614"/>
      <c r="H236" s="613"/>
      <c r="I236" s="614"/>
      <c r="J236" s="614"/>
      <c r="K236" s="614"/>
      <c r="L236" s="614"/>
      <c r="M236" s="614"/>
      <c r="N236" s="614"/>
      <c r="O236" s="614"/>
      <c r="P236" s="614"/>
    </row>
    <row r="237" spans="1:16" x14ac:dyDescent="0.25">
      <c r="A237" s="611"/>
      <c r="B237" s="611"/>
      <c r="C237" s="611"/>
      <c r="D237" s="629" t="s">
        <v>1248</v>
      </c>
      <c r="E237" s="611"/>
      <c r="F237" s="613"/>
      <c r="G237" s="614"/>
      <c r="H237" s="613"/>
      <c r="I237" s="614"/>
      <c r="J237" s="614"/>
      <c r="K237" s="614"/>
      <c r="L237" s="614"/>
      <c r="M237" s="614"/>
      <c r="N237" s="614"/>
      <c r="O237" s="614"/>
      <c r="P237" s="614"/>
    </row>
    <row r="238" spans="1:16" x14ac:dyDescent="0.25">
      <c r="A238" s="611"/>
      <c r="B238" s="611"/>
      <c r="C238" s="611"/>
      <c r="D238" s="612"/>
      <c r="E238" s="611"/>
      <c r="F238" s="613"/>
      <c r="G238" s="614"/>
      <c r="H238" s="613"/>
      <c r="I238" s="614"/>
      <c r="J238" s="614"/>
      <c r="K238" s="614"/>
      <c r="L238" s="614"/>
      <c r="M238" s="614"/>
      <c r="N238" s="614"/>
      <c r="O238" s="614"/>
      <c r="P238" s="614"/>
    </row>
    <row r="239" spans="1:16" ht="24" x14ac:dyDescent="0.25">
      <c r="A239" s="619"/>
      <c r="B239" s="619"/>
      <c r="C239" s="619" t="s">
        <v>1249</v>
      </c>
      <c r="D239" s="620" t="s">
        <v>1250</v>
      </c>
      <c r="E239" s="619" t="s">
        <v>251</v>
      </c>
      <c r="F239" s="621"/>
      <c r="G239" s="622"/>
      <c r="H239" s="621">
        <v>185</v>
      </c>
      <c r="I239" s="622">
        <f>SUM(I240:I242)</f>
        <v>0.79</v>
      </c>
      <c r="J239" s="622">
        <f>SUM(J240:J242)</f>
        <v>3.34</v>
      </c>
      <c r="K239" s="622">
        <f>I239+J239</f>
        <v>4.13</v>
      </c>
      <c r="L239" s="622">
        <f>H239*I239</f>
        <v>146.15</v>
      </c>
      <c r="M239" s="622">
        <f>H239*J239</f>
        <v>617.9</v>
      </c>
      <c r="N239" s="622">
        <f>L239+M239</f>
        <v>764.05</v>
      </c>
      <c r="O239" s="622">
        <f>N239*$P$4</f>
        <v>187.65067999999999</v>
      </c>
      <c r="P239" s="622">
        <f>N239+O239</f>
        <v>951.70067999999992</v>
      </c>
    </row>
    <row r="240" spans="1:16" ht="24" x14ac:dyDescent="0.25">
      <c r="A240" s="611" t="s">
        <v>1225</v>
      </c>
      <c r="B240" s="611" t="s">
        <v>1251</v>
      </c>
      <c r="C240" s="611"/>
      <c r="D240" s="612" t="s">
        <v>1250</v>
      </c>
      <c r="E240" s="611" t="s">
        <v>251</v>
      </c>
      <c r="F240" s="613">
        <v>1</v>
      </c>
      <c r="G240" s="614">
        <v>0.79</v>
      </c>
      <c r="H240" s="613"/>
      <c r="I240" s="623">
        <f>ROUND(F240*G240,2)</f>
        <v>0.79</v>
      </c>
      <c r="J240" s="614"/>
      <c r="K240" s="614">
        <f t="shared" ref="K240:K242" si="56">I240+J240</f>
        <v>0.79</v>
      </c>
      <c r="L240" s="614"/>
      <c r="M240" s="614"/>
      <c r="N240" s="614"/>
      <c r="O240" s="614"/>
      <c r="P240" s="614"/>
    </row>
    <row r="241" spans="1:16" x14ac:dyDescent="0.25">
      <c r="A241" s="611" t="s">
        <v>277</v>
      </c>
      <c r="B241" s="611">
        <v>2436</v>
      </c>
      <c r="C241" s="611"/>
      <c r="D241" s="612" t="s">
        <v>1069</v>
      </c>
      <c r="E241" s="611" t="s">
        <v>229</v>
      </c>
      <c r="F241" s="613">
        <v>0.15</v>
      </c>
      <c r="G241" s="614">
        <v>12.57</v>
      </c>
      <c r="H241" s="613"/>
      <c r="I241" s="614"/>
      <c r="J241" s="614">
        <f t="shared" ref="J241:J242" si="57">ROUND(F241*G241,2)</f>
        <v>1.89</v>
      </c>
      <c r="K241" s="614">
        <f t="shared" si="56"/>
        <v>1.89</v>
      </c>
      <c r="L241" s="614"/>
      <c r="M241" s="614"/>
      <c r="N241" s="614"/>
      <c r="O241" s="614"/>
      <c r="P241" s="614"/>
    </row>
    <row r="242" spans="1:16" x14ac:dyDescent="0.25">
      <c r="A242" s="611" t="s">
        <v>277</v>
      </c>
      <c r="B242" s="611">
        <v>247</v>
      </c>
      <c r="C242" s="611"/>
      <c r="D242" s="612" t="s">
        <v>1070</v>
      </c>
      <c r="E242" s="611" t="s">
        <v>229</v>
      </c>
      <c r="F242" s="613">
        <v>0.15</v>
      </c>
      <c r="G242" s="614">
        <v>9.65</v>
      </c>
      <c r="H242" s="613"/>
      <c r="I242" s="614"/>
      <c r="J242" s="614">
        <f t="shared" si="57"/>
        <v>1.45</v>
      </c>
      <c r="K242" s="614">
        <f t="shared" si="56"/>
        <v>1.45</v>
      </c>
      <c r="L242" s="614"/>
      <c r="M242" s="614"/>
      <c r="N242" s="614"/>
      <c r="O242" s="614"/>
      <c r="P242" s="614"/>
    </row>
    <row r="243" spans="1:16" ht="24" x14ac:dyDescent="0.25">
      <c r="A243" s="619"/>
      <c r="B243" s="619"/>
      <c r="C243" s="619" t="s">
        <v>1252</v>
      </c>
      <c r="D243" s="620" t="s">
        <v>1253</v>
      </c>
      <c r="E243" s="619" t="s">
        <v>251</v>
      </c>
      <c r="F243" s="621"/>
      <c r="G243" s="622"/>
      <c r="H243" s="621">
        <v>168</v>
      </c>
      <c r="I243" s="622">
        <f>SUM(I244:I246)</f>
        <v>3.51</v>
      </c>
      <c r="J243" s="622">
        <f>SUM(J244:J246)</f>
        <v>3.34</v>
      </c>
      <c r="K243" s="622">
        <f>I243+J243</f>
        <v>6.85</v>
      </c>
      <c r="L243" s="622">
        <f>H243*I243</f>
        <v>589.67999999999995</v>
      </c>
      <c r="M243" s="622">
        <f>H243*J243</f>
        <v>561.12</v>
      </c>
      <c r="N243" s="622">
        <f>L243+M243</f>
        <v>1150.8</v>
      </c>
      <c r="O243" s="622">
        <f>N243*$P$4</f>
        <v>282.63648000000001</v>
      </c>
      <c r="P243" s="622">
        <f>N243+O243</f>
        <v>1433.4364799999998</v>
      </c>
    </row>
    <row r="244" spans="1:16" ht="24" x14ac:dyDescent="0.25">
      <c r="A244" s="611" t="s">
        <v>1108</v>
      </c>
      <c r="B244" s="624" t="s">
        <v>1254</v>
      </c>
      <c r="C244" s="611"/>
      <c r="D244" s="612" t="s">
        <v>1253</v>
      </c>
      <c r="E244" s="611" t="s">
        <v>251</v>
      </c>
      <c r="F244" s="613">
        <v>1</v>
      </c>
      <c r="G244" s="623">
        <v>3.51</v>
      </c>
      <c r="H244" s="613"/>
      <c r="I244" s="623">
        <f>ROUND(F244*G244,2)</f>
        <v>3.51</v>
      </c>
      <c r="J244" s="614"/>
      <c r="K244" s="614">
        <f t="shared" ref="K244:K246" si="58">I244+J244</f>
        <v>3.51</v>
      </c>
      <c r="L244" s="614"/>
      <c r="M244" s="614"/>
      <c r="N244" s="614"/>
      <c r="O244" s="614"/>
      <c r="P244" s="614"/>
    </row>
    <row r="245" spans="1:16" x14ac:dyDescent="0.25">
      <c r="A245" s="611" t="s">
        <v>277</v>
      </c>
      <c r="B245" s="611">
        <v>2436</v>
      </c>
      <c r="C245" s="611"/>
      <c r="D245" s="612" t="s">
        <v>1069</v>
      </c>
      <c r="E245" s="611" t="s">
        <v>229</v>
      </c>
      <c r="F245" s="613">
        <v>0.15</v>
      </c>
      <c r="G245" s="614">
        <v>12.57</v>
      </c>
      <c r="H245" s="613"/>
      <c r="I245" s="614"/>
      <c r="J245" s="614">
        <f t="shared" ref="J245:J246" si="59">ROUND(F245*G245,2)</f>
        <v>1.89</v>
      </c>
      <c r="K245" s="614">
        <f t="shared" si="58"/>
        <v>1.89</v>
      </c>
      <c r="L245" s="614"/>
      <c r="M245" s="614"/>
      <c r="N245" s="614"/>
      <c r="O245" s="614"/>
      <c r="P245" s="614"/>
    </row>
    <row r="246" spans="1:16" x14ac:dyDescent="0.25">
      <c r="A246" s="611" t="s">
        <v>277</v>
      </c>
      <c r="B246" s="611">
        <v>247</v>
      </c>
      <c r="C246" s="611"/>
      <c r="D246" s="612" t="s">
        <v>1070</v>
      </c>
      <c r="E246" s="611" t="s">
        <v>229</v>
      </c>
      <c r="F246" s="613">
        <v>0.15</v>
      </c>
      <c r="G246" s="614">
        <v>9.65</v>
      </c>
      <c r="H246" s="613"/>
      <c r="I246" s="614"/>
      <c r="J246" s="614">
        <f t="shared" si="59"/>
        <v>1.45</v>
      </c>
      <c r="K246" s="614">
        <f t="shared" si="58"/>
        <v>1.45</v>
      </c>
      <c r="L246" s="614"/>
      <c r="M246" s="614"/>
      <c r="N246" s="614"/>
      <c r="O246" s="614"/>
      <c r="P246" s="614"/>
    </row>
    <row r="247" spans="1:16" ht="24" x14ac:dyDescent="0.25">
      <c r="A247" s="619"/>
      <c r="B247" s="619"/>
      <c r="C247" s="619" t="s">
        <v>1255</v>
      </c>
      <c r="D247" s="620" t="s">
        <v>1256</v>
      </c>
      <c r="E247" s="619" t="s">
        <v>251</v>
      </c>
      <c r="F247" s="621"/>
      <c r="G247" s="622"/>
      <c r="H247" s="621">
        <v>12</v>
      </c>
      <c r="I247" s="622">
        <f>SUM(I248:I250)</f>
        <v>1.89</v>
      </c>
      <c r="J247" s="622">
        <f>SUM(J248:J250)</f>
        <v>3.34</v>
      </c>
      <c r="K247" s="622">
        <f>I247+J247</f>
        <v>5.2299999999999995</v>
      </c>
      <c r="L247" s="622">
        <f>H247*I247</f>
        <v>22.68</v>
      </c>
      <c r="M247" s="622">
        <f>H247*J247</f>
        <v>40.08</v>
      </c>
      <c r="N247" s="622">
        <f>L247+M247</f>
        <v>62.76</v>
      </c>
      <c r="O247" s="622">
        <f>N247*$P$4</f>
        <v>15.413856000000001</v>
      </c>
      <c r="P247" s="622">
        <f>N247+O247</f>
        <v>78.173856000000001</v>
      </c>
    </row>
    <row r="248" spans="1:16" ht="24" x14ac:dyDescent="0.25">
      <c r="A248" s="611" t="s">
        <v>1225</v>
      </c>
      <c r="B248" s="611" t="s">
        <v>1257</v>
      </c>
      <c r="C248" s="611"/>
      <c r="D248" s="612" t="s">
        <v>1256</v>
      </c>
      <c r="E248" s="611" t="s">
        <v>251</v>
      </c>
      <c r="F248" s="613">
        <v>1</v>
      </c>
      <c r="G248" s="614">
        <v>1.89</v>
      </c>
      <c r="H248" s="613"/>
      <c r="I248" s="623">
        <f>ROUND(F248*G248,2)</f>
        <v>1.89</v>
      </c>
      <c r="J248" s="614"/>
      <c r="K248" s="614">
        <f t="shared" ref="K248:K250" si="60">I248+J248</f>
        <v>1.89</v>
      </c>
      <c r="L248" s="614"/>
      <c r="M248" s="614"/>
      <c r="N248" s="614"/>
      <c r="O248" s="614"/>
      <c r="P248" s="614"/>
    </row>
    <row r="249" spans="1:16" x14ac:dyDescent="0.25">
      <c r="A249" s="611" t="s">
        <v>277</v>
      </c>
      <c r="B249" s="611">
        <v>2436</v>
      </c>
      <c r="C249" s="611"/>
      <c r="D249" s="612" t="s">
        <v>1069</v>
      </c>
      <c r="E249" s="611" t="s">
        <v>229</v>
      </c>
      <c r="F249" s="613">
        <v>0.15</v>
      </c>
      <c r="G249" s="614">
        <v>12.57</v>
      </c>
      <c r="H249" s="613"/>
      <c r="I249" s="614"/>
      <c r="J249" s="614">
        <f t="shared" ref="J249:J250" si="61">ROUND(F249*G249,2)</f>
        <v>1.89</v>
      </c>
      <c r="K249" s="614">
        <f t="shared" si="60"/>
        <v>1.89</v>
      </c>
      <c r="L249" s="614"/>
      <c r="M249" s="614"/>
      <c r="N249" s="614"/>
      <c r="O249" s="614"/>
      <c r="P249" s="614"/>
    </row>
    <row r="250" spans="1:16" x14ac:dyDescent="0.25">
      <c r="A250" s="611" t="s">
        <v>277</v>
      </c>
      <c r="B250" s="611">
        <v>247</v>
      </c>
      <c r="C250" s="611"/>
      <c r="D250" s="612" t="s">
        <v>1070</v>
      </c>
      <c r="E250" s="611" t="s">
        <v>229</v>
      </c>
      <c r="F250" s="613">
        <v>0.15</v>
      </c>
      <c r="G250" s="614">
        <v>9.65</v>
      </c>
      <c r="H250" s="613"/>
      <c r="I250" s="614"/>
      <c r="J250" s="614">
        <f t="shared" si="61"/>
        <v>1.45</v>
      </c>
      <c r="K250" s="614">
        <f t="shared" si="60"/>
        <v>1.45</v>
      </c>
      <c r="L250" s="614"/>
      <c r="M250" s="614"/>
      <c r="N250" s="614"/>
      <c r="O250" s="614"/>
      <c r="P250" s="614"/>
    </row>
    <row r="251" spans="1:16" ht="24" x14ac:dyDescent="0.25">
      <c r="A251" s="619"/>
      <c r="B251" s="619"/>
      <c r="C251" s="619" t="s">
        <v>1258</v>
      </c>
      <c r="D251" s="620" t="s">
        <v>1259</v>
      </c>
      <c r="E251" s="619" t="s">
        <v>251</v>
      </c>
      <c r="F251" s="621"/>
      <c r="G251" s="622"/>
      <c r="H251" s="621">
        <v>15</v>
      </c>
      <c r="I251" s="622">
        <f>SUM(I252:I254)</f>
        <v>5.31</v>
      </c>
      <c r="J251" s="622">
        <f>SUM(J252:J254)</f>
        <v>3.34</v>
      </c>
      <c r="K251" s="622">
        <f>I251+J251</f>
        <v>8.6499999999999986</v>
      </c>
      <c r="L251" s="622">
        <f>H251*I251</f>
        <v>79.649999999999991</v>
      </c>
      <c r="M251" s="622">
        <f>H251*J251</f>
        <v>50.099999999999994</v>
      </c>
      <c r="N251" s="622">
        <f>L251+M251</f>
        <v>129.75</v>
      </c>
      <c r="O251" s="622">
        <f>N251*$P$4</f>
        <v>31.866600000000002</v>
      </c>
      <c r="P251" s="622">
        <f>N251+O251</f>
        <v>161.61660000000001</v>
      </c>
    </row>
    <row r="252" spans="1:16" ht="24" x14ac:dyDescent="0.25">
      <c r="A252" s="611" t="s">
        <v>1108</v>
      </c>
      <c r="B252" s="624" t="s">
        <v>1254</v>
      </c>
      <c r="C252" s="611"/>
      <c r="D252" s="612" t="s">
        <v>1259</v>
      </c>
      <c r="E252" s="611" t="s">
        <v>251</v>
      </c>
      <c r="F252" s="613">
        <v>1</v>
      </c>
      <c r="G252" s="623">
        <v>5.31</v>
      </c>
      <c r="H252" s="613"/>
      <c r="I252" s="623">
        <f>ROUND(F252*G252,2)</f>
        <v>5.31</v>
      </c>
      <c r="J252" s="614"/>
      <c r="K252" s="614">
        <f t="shared" ref="K252:K254" si="62">I252+J252</f>
        <v>5.31</v>
      </c>
      <c r="L252" s="614"/>
      <c r="M252" s="614"/>
      <c r="N252" s="614"/>
      <c r="O252" s="614"/>
      <c r="P252" s="614"/>
    </row>
    <row r="253" spans="1:16" x14ac:dyDescent="0.25">
      <c r="A253" s="611" t="s">
        <v>277</v>
      </c>
      <c r="B253" s="611">
        <v>2436</v>
      </c>
      <c r="C253" s="611"/>
      <c r="D253" s="612" t="s">
        <v>1069</v>
      </c>
      <c r="E253" s="611" t="s">
        <v>229</v>
      </c>
      <c r="F253" s="613">
        <v>0.15</v>
      </c>
      <c r="G253" s="614">
        <v>12.57</v>
      </c>
      <c r="H253" s="613"/>
      <c r="I253" s="614"/>
      <c r="J253" s="614">
        <f t="shared" ref="J253:J254" si="63">ROUND(F253*G253,2)</f>
        <v>1.89</v>
      </c>
      <c r="K253" s="614">
        <f t="shared" si="62"/>
        <v>1.89</v>
      </c>
      <c r="L253" s="614"/>
      <c r="M253" s="614"/>
      <c r="N253" s="614"/>
      <c r="O253" s="614"/>
      <c r="P253" s="614"/>
    </row>
    <row r="254" spans="1:16" x14ac:dyDescent="0.25">
      <c r="A254" s="611" t="s">
        <v>277</v>
      </c>
      <c r="B254" s="611">
        <v>247</v>
      </c>
      <c r="C254" s="611"/>
      <c r="D254" s="612" t="s">
        <v>1070</v>
      </c>
      <c r="E254" s="611" t="s">
        <v>229</v>
      </c>
      <c r="F254" s="613">
        <v>0.15</v>
      </c>
      <c r="G254" s="614">
        <v>9.65</v>
      </c>
      <c r="H254" s="613"/>
      <c r="I254" s="614"/>
      <c r="J254" s="614">
        <f t="shared" si="63"/>
        <v>1.45</v>
      </c>
      <c r="K254" s="614">
        <f t="shared" si="62"/>
        <v>1.45</v>
      </c>
      <c r="L254" s="614"/>
      <c r="M254" s="614"/>
      <c r="N254" s="614"/>
      <c r="O254" s="614"/>
      <c r="P254" s="614"/>
    </row>
    <row r="255" spans="1:16" ht="24" x14ac:dyDescent="0.25">
      <c r="A255" s="619"/>
      <c r="B255" s="619"/>
      <c r="C255" s="619" t="s">
        <v>1260</v>
      </c>
      <c r="D255" s="620" t="s">
        <v>1261</v>
      </c>
      <c r="E255" s="619" t="s">
        <v>251</v>
      </c>
      <c r="F255" s="621"/>
      <c r="G255" s="622"/>
      <c r="H255" s="621">
        <v>7</v>
      </c>
      <c r="I255" s="622">
        <f>SUM(I256:I258)</f>
        <v>9.6</v>
      </c>
      <c r="J255" s="622">
        <f>SUM(J256:J258)</f>
        <v>15.56</v>
      </c>
      <c r="K255" s="622">
        <f>I255+J255</f>
        <v>25.16</v>
      </c>
      <c r="L255" s="622">
        <f>H255*I255</f>
        <v>67.2</v>
      </c>
      <c r="M255" s="622">
        <f>H255*J255</f>
        <v>108.92</v>
      </c>
      <c r="N255" s="622">
        <f>L255+M255</f>
        <v>176.12</v>
      </c>
      <c r="O255" s="622">
        <f>N255*$P$4</f>
        <v>43.255072000000006</v>
      </c>
      <c r="P255" s="622">
        <f>N255+O255</f>
        <v>219.37507200000002</v>
      </c>
    </row>
    <row r="256" spans="1:16" ht="24" x14ac:dyDescent="0.25">
      <c r="A256" s="611" t="s">
        <v>278</v>
      </c>
      <c r="B256" s="611" t="s">
        <v>1262</v>
      </c>
      <c r="C256" s="611"/>
      <c r="D256" s="612" t="s">
        <v>1261</v>
      </c>
      <c r="E256" s="611" t="s">
        <v>251</v>
      </c>
      <c r="F256" s="613">
        <v>1</v>
      </c>
      <c r="G256" s="614">
        <v>9.6</v>
      </c>
      <c r="H256" s="613"/>
      <c r="I256" s="623">
        <f>ROUND(F256*G256,2)</f>
        <v>9.6</v>
      </c>
      <c r="J256" s="614"/>
      <c r="K256" s="614">
        <f t="shared" ref="K256:K258" si="64">I256+J256</f>
        <v>9.6</v>
      </c>
      <c r="L256" s="614"/>
      <c r="M256" s="614"/>
      <c r="N256" s="614"/>
      <c r="O256" s="614"/>
      <c r="P256" s="614"/>
    </row>
    <row r="257" spans="1:16" x14ac:dyDescent="0.25">
      <c r="A257" s="611" t="s">
        <v>277</v>
      </c>
      <c r="B257" s="611">
        <v>2436</v>
      </c>
      <c r="C257" s="611"/>
      <c r="D257" s="612" t="s">
        <v>1069</v>
      </c>
      <c r="E257" s="611" t="s">
        <v>229</v>
      </c>
      <c r="F257" s="613">
        <v>0.7</v>
      </c>
      <c r="G257" s="614">
        <v>12.57</v>
      </c>
      <c r="H257" s="613"/>
      <c r="I257" s="614"/>
      <c r="J257" s="614">
        <f t="shared" ref="J257:J258" si="65">ROUND(F257*G257,2)</f>
        <v>8.8000000000000007</v>
      </c>
      <c r="K257" s="614">
        <f t="shared" si="64"/>
        <v>8.8000000000000007</v>
      </c>
      <c r="L257" s="614"/>
      <c r="M257" s="614"/>
      <c r="N257" s="614"/>
      <c r="O257" s="614"/>
      <c r="P257" s="614"/>
    </row>
    <row r="258" spans="1:16" x14ac:dyDescent="0.25">
      <c r="A258" s="611" t="s">
        <v>277</v>
      </c>
      <c r="B258" s="611">
        <v>247</v>
      </c>
      <c r="C258" s="611"/>
      <c r="D258" s="612" t="s">
        <v>1070</v>
      </c>
      <c r="E258" s="611" t="s">
        <v>229</v>
      </c>
      <c r="F258" s="613">
        <v>0.7</v>
      </c>
      <c r="G258" s="614">
        <v>9.65</v>
      </c>
      <c r="H258" s="613"/>
      <c r="I258" s="614"/>
      <c r="J258" s="614">
        <f t="shared" si="65"/>
        <v>6.76</v>
      </c>
      <c r="K258" s="614">
        <f t="shared" si="64"/>
        <v>6.76</v>
      </c>
      <c r="L258" s="614"/>
      <c r="M258" s="614"/>
      <c r="N258" s="614"/>
      <c r="O258" s="614"/>
      <c r="P258" s="614"/>
    </row>
    <row r="259" spans="1:16" x14ac:dyDescent="0.25">
      <c r="A259" s="619"/>
      <c r="B259" s="619"/>
      <c r="C259" s="619" t="s">
        <v>1263</v>
      </c>
      <c r="D259" s="620" t="s">
        <v>1264</v>
      </c>
      <c r="E259" s="619" t="s">
        <v>251</v>
      </c>
      <c r="F259" s="621"/>
      <c r="G259" s="622"/>
      <c r="H259" s="621">
        <v>61</v>
      </c>
      <c r="I259" s="622">
        <f>SUM(I260:I262)</f>
        <v>7.93</v>
      </c>
      <c r="J259" s="622">
        <f>SUM(J260:J262)</f>
        <v>11.120000000000001</v>
      </c>
      <c r="K259" s="622">
        <f>I259+J259</f>
        <v>19.05</v>
      </c>
      <c r="L259" s="622">
        <f>H259*I259</f>
        <v>483.72999999999996</v>
      </c>
      <c r="M259" s="622">
        <f>H259*J259</f>
        <v>678.32</v>
      </c>
      <c r="N259" s="622">
        <f>L259+M259</f>
        <v>1162.05</v>
      </c>
      <c r="O259" s="622">
        <f>N259*$P$4</f>
        <v>285.39947999999998</v>
      </c>
      <c r="P259" s="622">
        <f>N259+O259</f>
        <v>1447.44948</v>
      </c>
    </row>
    <row r="260" spans="1:16" x14ac:dyDescent="0.25">
      <c r="A260" s="611" t="s">
        <v>278</v>
      </c>
      <c r="B260" s="611" t="s">
        <v>1265</v>
      </c>
      <c r="C260" s="611"/>
      <c r="D260" s="612" t="s">
        <v>1264</v>
      </c>
      <c r="E260" s="611" t="s">
        <v>251</v>
      </c>
      <c r="F260" s="613">
        <v>1</v>
      </c>
      <c r="G260" s="614">
        <v>7.93</v>
      </c>
      <c r="H260" s="613"/>
      <c r="I260" s="623">
        <f>ROUND(F260*G260,2)</f>
        <v>7.93</v>
      </c>
      <c r="J260" s="614"/>
      <c r="K260" s="614">
        <f t="shared" ref="K260:K262" si="66">I260+J260</f>
        <v>7.93</v>
      </c>
      <c r="L260" s="614"/>
      <c r="M260" s="614"/>
      <c r="N260" s="614"/>
      <c r="O260" s="614"/>
      <c r="P260" s="614"/>
    </row>
    <row r="261" spans="1:16" x14ac:dyDescent="0.25">
      <c r="A261" s="611" t="s">
        <v>277</v>
      </c>
      <c r="B261" s="611">
        <v>2436</v>
      </c>
      <c r="C261" s="611"/>
      <c r="D261" s="612" t="s">
        <v>1069</v>
      </c>
      <c r="E261" s="611" t="s">
        <v>229</v>
      </c>
      <c r="F261" s="613">
        <v>0.5</v>
      </c>
      <c r="G261" s="614">
        <v>12.57</v>
      </c>
      <c r="H261" s="613"/>
      <c r="I261" s="614"/>
      <c r="J261" s="614">
        <f t="shared" ref="J261:J262" si="67">ROUND(F261*G261,2)</f>
        <v>6.29</v>
      </c>
      <c r="K261" s="614">
        <f t="shared" si="66"/>
        <v>6.29</v>
      </c>
      <c r="L261" s="614"/>
      <c r="M261" s="614"/>
      <c r="N261" s="614"/>
      <c r="O261" s="614"/>
      <c r="P261" s="614"/>
    </row>
    <row r="262" spans="1:16" x14ac:dyDescent="0.25">
      <c r="A262" s="611" t="s">
        <v>277</v>
      </c>
      <c r="B262" s="611">
        <v>247</v>
      </c>
      <c r="C262" s="611"/>
      <c r="D262" s="612" t="s">
        <v>1070</v>
      </c>
      <c r="E262" s="611" t="s">
        <v>229</v>
      </c>
      <c r="F262" s="613">
        <v>0.5</v>
      </c>
      <c r="G262" s="614">
        <v>9.65</v>
      </c>
      <c r="H262" s="613"/>
      <c r="I262" s="614"/>
      <c r="J262" s="614">
        <f t="shared" si="67"/>
        <v>4.83</v>
      </c>
      <c r="K262" s="614">
        <f t="shared" si="66"/>
        <v>4.83</v>
      </c>
      <c r="L262" s="614"/>
      <c r="M262" s="614"/>
      <c r="N262" s="614"/>
      <c r="O262" s="614"/>
      <c r="P262" s="614"/>
    </row>
    <row r="263" spans="1:16" x14ac:dyDescent="0.25">
      <c r="A263" s="619"/>
      <c r="B263" s="619"/>
      <c r="C263" s="619" t="s">
        <v>1266</v>
      </c>
      <c r="D263" s="620" t="s">
        <v>1267</v>
      </c>
      <c r="E263" s="619" t="s">
        <v>251</v>
      </c>
      <c r="F263" s="621"/>
      <c r="G263" s="622"/>
      <c r="H263" s="621">
        <v>8</v>
      </c>
      <c r="I263" s="622">
        <f>SUM(I264:I266)</f>
        <v>9.85</v>
      </c>
      <c r="J263" s="622">
        <f>SUM(J264:J266)</f>
        <v>11.120000000000001</v>
      </c>
      <c r="K263" s="622">
        <f>I263+J263</f>
        <v>20.97</v>
      </c>
      <c r="L263" s="622">
        <f>H263*I263</f>
        <v>78.8</v>
      </c>
      <c r="M263" s="622">
        <f>H263*J263</f>
        <v>88.960000000000008</v>
      </c>
      <c r="N263" s="622">
        <f>L263+M263</f>
        <v>167.76</v>
      </c>
      <c r="O263" s="622">
        <f>N263*$P$4</f>
        <v>41.201855999999999</v>
      </c>
      <c r="P263" s="622">
        <f>N263+O263</f>
        <v>208.96185599999998</v>
      </c>
    </row>
    <row r="264" spans="1:16" x14ac:dyDescent="0.25">
      <c r="A264" s="611" t="s">
        <v>278</v>
      </c>
      <c r="B264" s="611" t="s">
        <v>1268</v>
      </c>
      <c r="C264" s="611"/>
      <c r="D264" s="612" t="s">
        <v>1267</v>
      </c>
      <c r="E264" s="611" t="s">
        <v>251</v>
      </c>
      <c r="F264" s="613">
        <v>1</v>
      </c>
      <c r="G264" s="614">
        <v>9.85</v>
      </c>
      <c r="H264" s="613"/>
      <c r="I264" s="623">
        <f>ROUND(F264*G264,2)</f>
        <v>9.85</v>
      </c>
      <c r="J264" s="614"/>
      <c r="K264" s="614">
        <f t="shared" ref="K264:K266" si="68">I264+J264</f>
        <v>9.85</v>
      </c>
      <c r="L264" s="614"/>
      <c r="M264" s="614"/>
      <c r="N264" s="614"/>
      <c r="O264" s="614"/>
      <c r="P264" s="614"/>
    </row>
    <row r="265" spans="1:16" x14ac:dyDescent="0.25">
      <c r="A265" s="611" t="s">
        <v>277</v>
      </c>
      <c r="B265" s="611">
        <v>2436</v>
      </c>
      <c r="C265" s="611"/>
      <c r="D265" s="612" t="s">
        <v>1069</v>
      </c>
      <c r="E265" s="611" t="s">
        <v>229</v>
      </c>
      <c r="F265" s="613">
        <v>0.5</v>
      </c>
      <c r="G265" s="614">
        <v>12.57</v>
      </c>
      <c r="H265" s="613"/>
      <c r="I265" s="614"/>
      <c r="J265" s="614">
        <f t="shared" ref="J265:J266" si="69">ROUND(F265*G265,2)</f>
        <v>6.29</v>
      </c>
      <c r="K265" s="614">
        <f t="shared" si="68"/>
        <v>6.29</v>
      </c>
      <c r="L265" s="614"/>
      <c r="M265" s="614"/>
      <c r="N265" s="614"/>
      <c r="O265" s="614"/>
      <c r="P265" s="614"/>
    </row>
    <row r="266" spans="1:16" x14ac:dyDescent="0.25">
      <c r="A266" s="611" t="s">
        <v>277</v>
      </c>
      <c r="B266" s="611">
        <v>247</v>
      </c>
      <c r="C266" s="611"/>
      <c r="D266" s="612" t="s">
        <v>1070</v>
      </c>
      <c r="E266" s="611" t="s">
        <v>229</v>
      </c>
      <c r="F266" s="613">
        <v>0.5</v>
      </c>
      <c r="G266" s="614">
        <v>9.65</v>
      </c>
      <c r="H266" s="613"/>
      <c r="I266" s="614"/>
      <c r="J266" s="614">
        <f t="shared" si="69"/>
        <v>4.83</v>
      </c>
      <c r="K266" s="614">
        <f t="shared" si="68"/>
        <v>4.83</v>
      </c>
      <c r="L266" s="614"/>
      <c r="M266" s="614"/>
      <c r="N266" s="614"/>
      <c r="O266" s="614"/>
      <c r="P266" s="614"/>
    </row>
    <row r="267" spans="1:16" x14ac:dyDescent="0.25">
      <c r="A267" s="619"/>
      <c r="B267" s="619"/>
      <c r="C267" s="619" t="s">
        <v>1269</v>
      </c>
      <c r="D267" s="620" t="s">
        <v>1270</v>
      </c>
      <c r="E267" s="619" t="s">
        <v>251</v>
      </c>
      <c r="F267" s="621"/>
      <c r="G267" s="622"/>
      <c r="H267" s="621">
        <v>11</v>
      </c>
      <c r="I267" s="622">
        <f>SUM(I268:I270)</f>
        <v>8.48</v>
      </c>
      <c r="J267" s="622">
        <f>SUM(J268:J270)</f>
        <v>11.120000000000001</v>
      </c>
      <c r="K267" s="622">
        <f>I267+J267</f>
        <v>19.600000000000001</v>
      </c>
      <c r="L267" s="622">
        <f>H267*I267</f>
        <v>93.28</v>
      </c>
      <c r="M267" s="622">
        <f>H267*J267</f>
        <v>122.32000000000001</v>
      </c>
      <c r="N267" s="622">
        <f>L267+M267</f>
        <v>215.60000000000002</v>
      </c>
      <c r="O267" s="622">
        <f>N267*$P$4</f>
        <v>52.951360000000008</v>
      </c>
      <c r="P267" s="622">
        <f>N267+O267</f>
        <v>268.55136000000005</v>
      </c>
    </row>
    <row r="268" spans="1:16" x14ac:dyDescent="0.25">
      <c r="A268" s="611" t="s">
        <v>278</v>
      </c>
      <c r="B268" s="611" t="s">
        <v>1271</v>
      </c>
      <c r="C268" s="611"/>
      <c r="D268" s="612" t="s">
        <v>1270</v>
      </c>
      <c r="E268" s="611" t="s">
        <v>251</v>
      </c>
      <c r="F268" s="613">
        <v>1</v>
      </c>
      <c r="G268" s="614">
        <v>8.48</v>
      </c>
      <c r="H268" s="613"/>
      <c r="I268" s="623">
        <f>ROUND(F268*G268,2)</f>
        <v>8.48</v>
      </c>
      <c r="J268" s="614"/>
      <c r="K268" s="614">
        <f t="shared" ref="K268:K270" si="70">I268+J268</f>
        <v>8.48</v>
      </c>
      <c r="L268" s="614"/>
      <c r="M268" s="614"/>
      <c r="N268" s="614"/>
      <c r="O268" s="614"/>
      <c r="P268" s="614"/>
    </row>
    <row r="269" spans="1:16" x14ac:dyDescent="0.25">
      <c r="A269" s="611" t="s">
        <v>277</v>
      </c>
      <c r="B269" s="611">
        <v>2436</v>
      </c>
      <c r="C269" s="611"/>
      <c r="D269" s="612" t="s">
        <v>1069</v>
      </c>
      <c r="E269" s="611" t="s">
        <v>229</v>
      </c>
      <c r="F269" s="613">
        <v>0.5</v>
      </c>
      <c r="G269" s="614">
        <v>12.57</v>
      </c>
      <c r="H269" s="613"/>
      <c r="I269" s="614"/>
      <c r="J269" s="614">
        <f t="shared" ref="J269:J270" si="71">ROUND(F269*G269,2)</f>
        <v>6.29</v>
      </c>
      <c r="K269" s="614">
        <f t="shared" si="70"/>
        <v>6.29</v>
      </c>
      <c r="L269" s="614"/>
      <c r="M269" s="614"/>
      <c r="N269" s="614"/>
      <c r="O269" s="614"/>
      <c r="P269" s="614"/>
    </row>
    <row r="270" spans="1:16" x14ac:dyDescent="0.25">
      <c r="A270" s="611" t="s">
        <v>277</v>
      </c>
      <c r="B270" s="611">
        <v>247</v>
      </c>
      <c r="C270" s="611"/>
      <c r="D270" s="612" t="s">
        <v>1070</v>
      </c>
      <c r="E270" s="611" t="s">
        <v>229</v>
      </c>
      <c r="F270" s="613">
        <v>0.5</v>
      </c>
      <c r="G270" s="614">
        <v>9.65</v>
      </c>
      <c r="H270" s="613"/>
      <c r="I270" s="614"/>
      <c r="J270" s="614">
        <f t="shared" si="71"/>
        <v>4.83</v>
      </c>
      <c r="K270" s="614">
        <f t="shared" si="70"/>
        <v>4.83</v>
      </c>
      <c r="L270" s="614"/>
      <c r="M270" s="614"/>
      <c r="N270" s="614"/>
      <c r="O270" s="614"/>
      <c r="P270" s="614"/>
    </row>
    <row r="271" spans="1:16" x14ac:dyDescent="0.25">
      <c r="A271" s="619"/>
      <c r="B271" s="619"/>
      <c r="C271" s="619" t="s">
        <v>1272</v>
      </c>
      <c r="D271" s="620" t="s">
        <v>1273</v>
      </c>
      <c r="E271" s="619" t="s">
        <v>251</v>
      </c>
      <c r="F271" s="621"/>
      <c r="G271" s="622"/>
      <c r="H271" s="621">
        <v>1</v>
      </c>
      <c r="I271" s="622">
        <f>SUM(I272:I274)</f>
        <v>8.48</v>
      </c>
      <c r="J271" s="622">
        <f>SUM(J272:J274)</f>
        <v>11.120000000000001</v>
      </c>
      <c r="K271" s="622">
        <f>I271+J271</f>
        <v>19.600000000000001</v>
      </c>
      <c r="L271" s="622">
        <f>H271*I271</f>
        <v>8.48</v>
      </c>
      <c r="M271" s="622">
        <f>H271*J271</f>
        <v>11.120000000000001</v>
      </c>
      <c r="N271" s="622">
        <f>L271+M271</f>
        <v>19.600000000000001</v>
      </c>
      <c r="O271" s="622">
        <f>N271*$P$4</f>
        <v>4.8137600000000003</v>
      </c>
      <c r="P271" s="622">
        <f>N271+O271</f>
        <v>24.413760000000003</v>
      </c>
    </row>
    <row r="272" spans="1:16" x14ac:dyDescent="0.25">
      <c r="A272" s="611" t="s">
        <v>278</v>
      </c>
      <c r="B272" s="611" t="s">
        <v>1271</v>
      </c>
      <c r="C272" s="611"/>
      <c r="D272" s="612" t="s">
        <v>1273</v>
      </c>
      <c r="E272" s="611" t="s">
        <v>251</v>
      </c>
      <c r="F272" s="613">
        <v>1</v>
      </c>
      <c r="G272" s="614">
        <v>8.48</v>
      </c>
      <c r="H272" s="613"/>
      <c r="I272" s="623">
        <f>ROUND(F272*G272,2)</f>
        <v>8.48</v>
      </c>
      <c r="J272" s="614"/>
      <c r="K272" s="614">
        <f t="shared" ref="K272:K274" si="72">I272+J272</f>
        <v>8.48</v>
      </c>
      <c r="L272" s="614"/>
      <c r="M272" s="614"/>
      <c r="N272" s="614"/>
      <c r="O272" s="614"/>
      <c r="P272" s="614"/>
    </row>
    <row r="273" spans="1:16" x14ac:dyDescent="0.25">
      <c r="A273" s="611" t="s">
        <v>277</v>
      </c>
      <c r="B273" s="611">
        <v>2436</v>
      </c>
      <c r="C273" s="611"/>
      <c r="D273" s="612" t="s">
        <v>1069</v>
      </c>
      <c r="E273" s="611" t="s">
        <v>229</v>
      </c>
      <c r="F273" s="613">
        <v>0.5</v>
      </c>
      <c r="G273" s="614">
        <v>12.57</v>
      </c>
      <c r="H273" s="613"/>
      <c r="I273" s="614"/>
      <c r="J273" s="614">
        <f t="shared" ref="J273:J274" si="73">ROUND(F273*G273,2)</f>
        <v>6.29</v>
      </c>
      <c r="K273" s="614">
        <f t="shared" si="72"/>
        <v>6.29</v>
      </c>
      <c r="L273" s="614"/>
      <c r="M273" s="614"/>
      <c r="N273" s="614"/>
      <c r="O273" s="614"/>
      <c r="P273" s="614"/>
    </row>
    <row r="274" spans="1:16" x14ac:dyDescent="0.25">
      <c r="A274" s="611" t="s">
        <v>277</v>
      </c>
      <c r="B274" s="611">
        <v>247</v>
      </c>
      <c r="C274" s="611"/>
      <c r="D274" s="612" t="s">
        <v>1070</v>
      </c>
      <c r="E274" s="611" t="s">
        <v>229</v>
      </c>
      <c r="F274" s="613">
        <v>0.5</v>
      </c>
      <c r="G274" s="614">
        <v>9.65</v>
      </c>
      <c r="H274" s="613"/>
      <c r="I274" s="614"/>
      <c r="J274" s="614">
        <f t="shared" si="73"/>
        <v>4.83</v>
      </c>
      <c r="K274" s="614">
        <f t="shared" si="72"/>
        <v>4.83</v>
      </c>
      <c r="L274" s="614"/>
      <c r="M274" s="614"/>
      <c r="N274" s="614"/>
      <c r="O274" s="614"/>
      <c r="P274" s="614"/>
    </row>
    <row r="275" spans="1:16" x14ac:dyDescent="0.25">
      <c r="A275" s="619"/>
      <c r="B275" s="619"/>
      <c r="C275" s="619" t="s">
        <v>1274</v>
      </c>
      <c r="D275" s="620" t="s">
        <v>1275</v>
      </c>
      <c r="E275" s="619" t="s">
        <v>251</v>
      </c>
      <c r="F275" s="621"/>
      <c r="G275" s="622"/>
      <c r="H275" s="621">
        <v>1</v>
      </c>
      <c r="I275" s="622">
        <f>SUM(I276:I278)</f>
        <v>10.16</v>
      </c>
      <c r="J275" s="622">
        <f>SUM(J276:J278)</f>
        <v>13.33</v>
      </c>
      <c r="K275" s="622">
        <f>I275+J275</f>
        <v>23.490000000000002</v>
      </c>
      <c r="L275" s="622">
        <f>H275*I275</f>
        <v>10.16</v>
      </c>
      <c r="M275" s="622">
        <f>H275*J275</f>
        <v>13.33</v>
      </c>
      <c r="N275" s="622">
        <f>L275+M275</f>
        <v>23.490000000000002</v>
      </c>
      <c r="O275" s="622">
        <f>N275*$P$4</f>
        <v>5.7691440000000007</v>
      </c>
      <c r="P275" s="622">
        <f>N275+O275</f>
        <v>29.259144000000003</v>
      </c>
    </row>
    <row r="276" spans="1:16" x14ac:dyDescent="0.25">
      <c r="A276" s="611" t="s">
        <v>278</v>
      </c>
      <c r="B276" s="611" t="s">
        <v>1276</v>
      </c>
      <c r="C276" s="611"/>
      <c r="D276" s="612" t="s">
        <v>1275</v>
      </c>
      <c r="E276" s="611" t="s">
        <v>251</v>
      </c>
      <c r="F276" s="613">
        <v>1</v>
      </c>
      <c r="G276" s="614">
        <v>10.16</v>
      </c>
      <c r="H276" s="613"/>
      <c r="I276" s="623">
        <f>ROUND(F276*G276,2)</f>
        <v>10.16</v>
      </c>
      <c r="J276" s="614"/>
      <c r="K276" s="614">
        <f t="shared" ref="K276:K278" si="74">I276+J276</f>
        <v>10.16</v>
      </c>
      <c r="L276" s="614"/>
      <c r="M276" s="614"/>
      <c r="N276" s="614"/>
      <c r="O276" s="614"/>
      <c r="P276" s="614"/>
    </row>
    <row r="277" spans="1:16" x14ac:dyDescent="0.25">
      <c r="A277" s="611" t="s">
        <v>277</v>
      </c>
      <c r="B277" s="611">
        <v>2436</v>
      </c>
      <c r="C277" s="611"/>
      <c r="D277" s="612" t="s">
        <v>1069</v>
      </c>
      <c r="E277" s="611" t="s">
        <v>229</v>
      </c>
      <c r="F277" s="613">
        <v>0.6</v>
      </c>
      <c r="G277" s="614">
        <v>12.57</v>
      </c>
      <c r="H277" s="613"/>
      <c r="I277" s="614"/>
      <c r="J277" s="614">
        <f t="shared" ref="J277:J278" si="75">ROUND(F277*G277,2)</f>
        <v>7.54</v>
      </c>
      <c r="K277" s="614">
        <f t="shared" si="74"/>
        <v>7.54</v>
      </c>
      <c r="L277" s="614"/>
      <c r="M277" s="614"/>
      <c r="N277" s="614"/>
      <c r="O277" s="614"/>
      <c r="P277" s="614"/>
    </row>
    <row r="278" spans="1:16" x14ac:dyDescent="0.25">
      <c r="A278" s="611" t="s">
        <v>277</v>
      </c>
      <c r="B278" s="611">
        <v>247</v>
      </c>
      <c r="C278" s="611"/>
      <c r="D278" s="612" t="s">
        <v>1070</v>
      </c>
      <c r="E278" s="611" t="s">
        <v>229</v>
      </c>
      <c r="F278" s="613">
        <v>0.6</v>
      </c>
      <c r="G278" s="614">
        <v>9.65</v>
      </c>
      <c r="H278" s="613"/>
      <c r="I278" s="614"/>
      <c r="J278" s="614">
        <f t="shared" si="75"/>
        <v>5.79</v>
      </c>
      <c r="K278" s="614">
        <f t="shared" si="74"/>
        <v>5.79</v>
      </c>
      <c r="L278" s="614"/>
      <c r="M278" s="614"/>
      <c r="N278" s="614"/>
      <c r="O278" s="614"/>
      <c r="P278" s="614"/>
    </row>
    <row r="279" spans="1:16" x14ac:dyDescent="0.25">
      <c r="A279" s="619"/>
      <c r="B279" s="619"/>
      <c r="C279" s="619" t="s">
        <v>1277</v>
      </c>
      <c r="D279" s="620" t="s">
        <v>1278</v>
      </c>
      <c r="E279" s="619" t="s">
        <v>251</v>
      </c>
      <c r="F279" s="621"/>
      <c r="G279" s="622"/>
      <c r="H279" s="621">
        <v>2</v>
      </c>
      <c r="I279" s="622">
        <f>SUM(I280:I282)</f>
        <v>24.03</v>
      </c>
      <c r="J279" s="622">
        <f>SUM(J280:J282)</f>
        <v>11.120000000000001</v>
      </c>
      <c r="K279" s="622">
        <f>I279+J279</f>
        <v>35.150000000000006</v>
      </c>
      <c r="L279" s="622">
        <f>H279*I279</f>
        <v>48.06</v>
      </c>
      <c r="M279" s="622">
        <f>H279*J279</f>
        <v>22.240000000000002</v>
      </c>
      <c r="N279" s="622">
        <f>L279+M279</f>
        <v>70.300000000000011</v>
      </c>
      <c r="O279" s="622">
        <f>N279*$P$4</f>
        <v>17.265680000000003</v>
      </c>
      <c r="P279" s="622">
        <f>N279+O279</f>
        <v>87.565680000000015</v>
      </c>
    </row>
    <row r="280" spans="1:16" x14ac:dyDescent="0.25">
      <c r="A280" s="611" t="s">
        <v>278</v>
      </c>
      <c r="B280" s="611" t="s">
        <v>1276</v>
      </c>
      <c r="C280" s="611"/>
      <c r="D280" s="612" t="s">
        <v>1278</v>
      </c>
      <c r="E280" s="611" t="s">
        <v>251</v>
      </c>
      <c r="F280" s="613">
        <v>1</v>
      </c>
      <c r="G280" s="614">
        <v>24.03</v>
      </c>
      <c r="H280" s="613"/>
      <c r="I280" s="623">
        <f>ROUND(F280*G280,2)</f>
        <v>24.03</v>
      </c>
      <c r="J280" s="614"/>
      <c r="K280" s="614">
        <f t="shared" ref="K280:K282" si="76">I280+J280</f>
        <v>24.03</v>
      </c>
      <c r="L280" s="614"/>
      <c r="M280" s="614"/>
      <c r="N280" s="614"/>
      <c r="O280" s="614"/>
      <c r="P280" s="614"/>
    </row>
    <row r="281" spans="1:16" x14ac:dyDescent="0.25">
      <c r="A281" s="611" t="s">
        <v>277</v>
      </c>
      <c r="B281" s="611">
        <v>2436</v>
      </c>
      <c r="C281" s="611"/>
      <c r="D281" s="612" t="s">
        <v>1069</v>
      </c>
      <c r="E281" s="611" t="s">
        <v>229</v>
      </c>
      <c r="F281" s="613">
        <v>0.5</v>
      </c>
      <c r="G281" s="614">
        <v>12.57</v>
      </c>
      <c r="H281" s="613"/>
      <c r="I281" s="614"/>
      <c r="J281" s="614">
        <f t="shared" ref="J281:J282" si="77">ROUND(F281*G281,2)</f>
        <v>6.29</v>
      </c>
      <c r="K281" s="614">
        <f t="shared" si="76"/>
        <v>6.29</v>
      </c>
      <c r="L281" s="614"/>
      <c r="M281" s="614"/>
      <c r="N281" s="614"/>
      <c r="O281" s="614"/>
      <c r="P281" s="614"/>
    </row>
    <row r="282" spans="1:16" x14ac:dyDescent="0.25">
      <c r="A282" s="611" t="s">
        <v>277</v>
      </c>
      <c r="B282" s="611">
        <v>247</v>
      </c>
      <c r="C282" s="611"/>
      <c r="D282" s="612" t="s">
        <v>1070</v>
      </c>
      <c r="E282" s="611" t="s">
        <v>229</v>
      </c>
      <c r="F282" s="613">
        <v>0.5</v>
      </c>
      <c r="G282" s="614">
        <v>9.65</v>
      </c>
      <c r="H282" s="613"/>
      <c r="I282" s="614"/>
      <c r="J282" s="614">
        <f t="shared" si="77"/>
        <v>4.83</v>
      </c>
      <c r="K282" s="614">
        <f t="shared" si="76"/>
        <v>4.83</v>
      </c>
      <c r="L282" s="614"/>
      <c r="M282" s="614"/>
      <c r="N282" s="614"/>
      <c r="O282" s="614"/>
      <c r="P282" s="614"/>
    </row>
    <row r="283" spans="1:16" x14ac:dyDescent="0.25">
      <c r="A283" s="619"/>
      <c r="B283" s="619"/>
      <c r="C283" s="619" t="s">
        <v>1279</v>
      </c>
      <c r="D283" s="620" t="s">
        <v>1280</v>
      </c>
      <c r="E283" s="619" t="s">
        <v>251</v>
      </c>
      <c r="F283" s="621"/>
      <c r="G283" s="622"/>
      <c r="H283" s="621">
        <v>2</v>
      </c>
      <c r="I283" s="622">
        <f>SUM(I284:I286)</f>
        <v>28.23</v>
      </c>
      <c r="J283" s="622">
        <f>SUM(J284:J286)</f>
        <v>11.120000000000001</v>
      </c>
      <c r="K283" s="622">
        <f>I283+J283</f>
        <v>39.35</v>
      </c>
      <c r="L283" s="622">
        <f>H283*I283</f>
        <v>56.46</v>
      </c>
      <c r="M283" s="622">
        <f>H283*J283</f>
        <v>22.240000000000002</v>
      </c>
      <c r="N283" s="622">
        <f>L283+M283</f>
        <v>78.7</v>
      </c>
      <c r="O283" s="622">
        <f>N283*$P$4</f>
        <v>19.328720000000001</v>
      </c>
      <c r="P283" s="622">
        <f>N283+O283</f>
        <v>98.028720000000007</v>
      </c>
    </row>
    <row r="284" spans="1:16" x14ac:dyDescent="0.25">
      <c r="A284" s="611" t="s">
        <v>278</v>
      </c>
      <c r="B284" s="611" t="s">
        <v>1276</v>
      </c>
      <c r="C284" s="611"/>
      <c r="D284" s="612" t="s">
        <v>1280</v>
      </c>
      <c r="E284" s="611" t="s">
        <v>251</v>
      </c>
      <c r="F284" s="613">
        <v>1</v>
      </c>
      <c r="G284" s="614">
        <v>28.23</v>
      </c>
      <c r="H284" s="613"/>
      <c r="I284" s="623">
        <f>ROUND(F284*G284,2)</f>
        <v>28.23</v>
      </c>
      <c r="J284" s="614"/>
      <c r="K284" s="614">
        <f t="shared" ref="K284:K286" si="78">I284+J284</f>
        <v>28.23</v>
      </c>
      <c r="L284" s="614"/>
      <c r="M284" s="614"/>
      <c r="N284" s="614"/>
      <c r="O284" s="614"/>
      <c r="P284" s="614"/>
    </row>
    <row r="285" spans="1:16" x14ac:dyDescent="0.25">
      <c r="A285" s="611" t="s">
        <v>277</v>
      </c>
      <c r="B285" s="611">
        <v>2436</v>
      </c>
      <c r="C285" s="611"/>
      <c r="D285" s="612" t="s">
        <v>1069</v>
      </c>
      <c r="E285" s="611" t="s">
        <v>229</v>
      </c>
      <c r="F285" s="613">
        <v>0.5</v>
      </c>
      <c r="G285" s="614">
        <v>12.57</v>
      </c>
      <c r="H285" s="613"/>
      <c r="I285" s="614"/>
      <c r="J285" s="614">
        <f t="shared" ref="J285:J286" si="79">ROUND(F285*G285,2)</f>
        <v>6.29</v>
      </c>
      <c r="K285" s="614">
        <f t="shared" si="78"/>
        <v>6.29</v>
      </c>
      <c r="L285" s="614"/>
      <c r="M285" s="614"/>
      <c r="N285" s="614"/>
      <c r="O285" s="614"/>
      <c r="P285" s="614"/>
    </row>
    <row r="286" spans="1:16" x14ac:dyDescent="0.25">
      <c r="A286" s="611" t="s">
        <v>277</v>
      </c>
      <c r="B286" s="611">
        <v>247</v>
      </c>
      <c r="C286" s="611"/>
      <c r="D286" s="612" t="s">
        <v>1070</v>
      </c>
      <c r="E286" s="611" t="s">
        <v>229</v>
      </c>
      <c r="F286" s="613">
        <v>0.5</v>
      </c>
      <c r="G286" s="614">
        <v>9.65</v>
      </c>
      <c r="H286" s="613"/>
      <c r="I286" s="614"/>
      <c r="J286" s="614">
        <f t="shared" si="79"/>
        <v>4.83</v>
      </c>
      <c r="K286" s="614">
        <f t="shared" si="78"/>
        <v>4.83</v>
      </c>
      <c r="L286" s="614"/>
      <c r="M286" s="614"/>
      <c r="N286" s="614"/>
      <c r="O286" s="614"/>
      <c r="P286" s="614"/>
    </row>
    <row r="287" spans="1:16" x14ac:dyDescent="0.25">
      <c r="A287" s="619"/>
      <c r="B287" s="619"/>
      <c r="C287" s="619" t="s">
        <v>1281</v>
      </c>
      <c r="D287" s="620" t="s">
        <v>1282</v>
      </c>
      <c r="E287" s="619" t="s">
        <v>248</v>
      </c>
      <c r="F287" s="621"/>
      <c r="G287" s="622"/>
      <c r="H287" s="621">
        <v>645</v>
      </c>
      <c r="I287" s="622">
        <f>SUM(I288:I290)</f>
        <v>1.6</v>
      </c>
      <c r="J287" s="622">
        <f>SUM(J288:J290)</f>
        <v>3.34</v>
      </c>
      <c r="K287" s="622">
        <f>I287+J287</f>
        <v>4.9399999999999995</v>
      </c>
      <c r="L287" s="622">
        <f>H287*I287</f>
        <v>1032</v>
      </c>
      <c r="M287" s="622">
        <f>H287*J287</f>
        <v>2154.2999999999997</v>
      </c>
      <c r="N287" s="622">
        <f>L287+M287</f>
        <v>3186.2999999999997</v>
      </c>
      <c r="O287" s="622">
        <f>N287*$P$4</f>
        <v>782.55527999999993</v>
      </c>
      <c r="P287" s="622">
        <f>N287+O287</f>
        <v>3968.8552799999998</v>
      </c>
    </row>
    <row r="288" spans="1:16" x14ac:dyDescent="0.25">
      <c r="A288" s="611" t="s">
        <v>277</v>
      </c>
      <c r="B288" s="611">
        <v>72935</v>
      </c>
      <c r="C288" s="611"/>
      <c r="D288" s="612" t="s">
        <v>1282</v>
      </c>
      <c r="E288" s="611" t="s">
        <v>248</v>
      </c>
      <c r="F288" s="613">
        <v>1</v>
      </c>
      <c r="G288" s="614">
        <v>1.6</v>
      </c>
      <c r="H288" s="613"/>
      <c r="I288" s="623">
        <f>ROUND(F288*G288,2)</f>
        <v>1.6</v>
      </c>
      <c r="J288" s="614"/>
      <c r="K288" s="614">
        <f t="shared" ref="K288:K290" si="80">I288+J288</f>
        <v>1.6</v>
      </c>
      <c r="L288" s="614"/>
      <c r="M288" s="614"/>
      <c r="N288" s="614"/>
      <c r="O288" s="614"/>
      <c r="P288" s="614"/>
    </row>
    <row r="289" spans="1:16" x14ac:dyDescent="0.25">
      <c r="A289" s="611" t="s">
        <v>277</v>
      </c>
      <c r="B289" s="611">
        <v>2436</v>
      </c>
      <c r="C289" s="611"/>
      <c r="D289" s="612" t="s">
        <v>1069</v>
      </c>
      <c r="E289" s="611" t="s">
        <v>229</v>
      </c>
      <c r="F289" s="613">
        <v>0.15</v>
      </c>
      <c r="G289" s="614">
        <v>12.57</v>
      </c>
      <c r="H289" s="613"/>
      <c r="I289" s="614"/>
      <c r="J289" s="614">
        <f t="shared" ref="J289:J290" si="81">ROUND(F289*G289,2)</f>
        <v>1.89</v>
      </c>
      <c r="K289" s="614">
        <f t="shared" si="80"/>
        <v>1.89</v>
      </c>
      <c r="L289" s="614"/>
      <c r="M289" s="614"/>
      <c r="N289" s="614"/>
      <c r="O289" s="614"/>
      <c r="P289" s="614"/>
    </row>
    <row r="290" spans="1:16" x14ac:dyDescent="0.25">
      <c r="A290" s="611" t="s">
        <v>277</v>
      </c>
      <c r="B290" s="611">
        <v>247</v>
      </c>
      <c r="C290" s="611"/>
      <c r="D290" s="612" t="s">
        <v>1070</v>
      </c>
      <c r="E290" s="611" t="s">
        <v>229</v>
      </c>
      <c r="F290" s="613">
        <v>0.15</v>
      </c>
      <c r="G290" s="614">
        <v>9.65</v>
      </c>
      <c r="H290" s="613"/>
      <c r="I290" s="614"/>
      <c r="J290" s="614">
        <f t="shared" si="81"/>
        <v>1.45</v>
      </c>
      <c r="K290" s="614">
        <f t="shared" si="80"/>
        <v>1.45</v>
      </c>
      <c r="L290" s="614"/>
      <c r="M290" s="614"/>
      <c r="N290" s="614"/>
      <c r="O290" s="614"/>
      <c r="P290" s="614"/>
    </row>
    <row r="291" spans="1:16" ht="24" x14ac:dyDescent="0.25">
      <c r="A291" s="619"/>
      <c r="B291" s="619"/>
      <c r="C291" s="619" t="s">
        <v>1283</v>
      </c>
      <c r="D291" s="620" t="s">
        <v>1224</v>
      </c>
      <c r="E291" s="619" t="s">
        <v>248</v>
      </c>
      <c r="F291" s="621"/>
      <c r="G291" s="622"/>
      <c r="H291" s="621">
        <v>610</v>
      </c>
      <c r="I291" s="622">
        <f>SUM(I292:I294)</f>
        <v>3.49</v>
      </c>
      <c r="J291" s="622">
        <f>SUM(J292:J294)</f>
        <v>6.67</v>
      </c>
      <c r="K291" s="622">
        <f>I291+J291</f>
        <v>10.16</v>
      </c>
      <c r="L291" s="622">
        <f>H291*I291</f>
        <v>2128.9</v>
      </c>
      <c r="M291" s="622">
        <f>H291*J291</f>
        <v>4068.7</v>
      </c>
      <c r="N291" s="622">
        <f>L291+M291</f>
        <v>6197.6</v>
      </c>
      <c r="O291" s="622">
        <f>N291*$P$4</f>
        <v>1522.1305600000001</v>
      </c>
      <c r="P291" s="622">
        <f>N291+O291</f>
        <v>7719.73056</v>
      </c>
    </row>
    <row r="292" spans="1:16" x14ac:dyDescent="0.25">
      <c r="A292" s="611" t="s">
        <v>1225</v>
      </c>
      <c r="B292" s="611" t="s">
        <v>1226</v>
      </c>
      <c r="C292" s="611"/>
      <c r="D292" s="612" t="s">
        <v>1227</v>
      </c>
      <c r="E292" s="611" t="s">
        <v>248</v>
      </c>
      <c r="F292" s="613">
        <v>1.1000000000000001</v>
      </c>
      <c r="G292" s="614">
        <v>3.17</v>
      </c>
      <c r="H292" s="613"/>
      <c r="I292" s="623">
        <f>ROUND(F292*G292,2)</f>
        <v>3.49</v>
      </c>
      <c r="J292" s="614"/>
      <c r="K292" s="614">
        <f t="shared" ref="K292:K294" si="82">I292+J292</f>
        <v>3.49</v>
      </c>
      <c r="L292" s="614"/>
      <c r="M292" s="614"/>
      <c r="N292" s="614"/>
      <c r="O292" s="614"/>
      <c r="P292" s="614"/>
    </row>
    <row r="293" spans="1:16" x14ac:dyDescent="0.25">
      <c r="A293" s="611" t="s">
        <v>277</v>
      </c>
      <c r="B293" s="611">
        <v>2436</v>
      </c>
      <c r="C293" s="611"/>
      <c r="D293" s="612" t="s">
        <v>1069</v>
      </c>
      <c r="E293" s="611" t="s">
        <v>229</v>
      </c>
      <c r="F293" s="613">
        <v>0.3</v>
      </c>
      <c r="G293" s="614">
        <v>12.57</v>
      </c>
      <c r="H293" s="613"/>
      <c r="I293" s="614"/>
      <c r="J293" s="614">
        <f t="shared" ref="J293:J294" si="83">ROUND(F293*G293,2)</f>
        <v>3.77</v>
      </c>
      <c r="K293" s="614">
        <f t="shared" si="82"/>
        <v>3.77</v>
      </c>
      <c r="L293" s="614"/>
      <c r="M293" s="614"/>
      <c r="N293" s="614"/>
      <c r="O293" s="614"/>
      <c r="P293" s="614"/>
    </row>
    <row r="294" spans="1:16" x14ac:dyDescent="0.25">
      <c r="A294" s="611" t="s">
        <v>277</v>
      </c>
      <c r="B294" s="611">
        <v>247</v>
      </c>
      <c r="C294" s="611"/>
      <c r="D294" s="612" t="s">
        <v>1070</v>
      </c>
      <c r="E294" s="611" t="s">
        <v>229</v>
      </c>
      <c r="F294" s="613">
        <v>0.3</v>
      </c>
      <c r="G294" s="614">
        <v>9.65</v>
      </c>
      <c r="H294" s="613"/>
      <c r="I294" s="614"/>
      <c r="J294" s="614">
        <f t="shared" si="83"/>
        <v>2.9</v>
      </c>
      <c r="K294" s="614">
        <f t="shared" si="82"/>
        <v>2.9</v>
      </c>
      <c r="L294" s="614"/>
      <c r="M294" s="614"/>
      <c r="N294" s="614"/>
      <c r="O294" s="614"/>
      <c r="P294" s="614"/>
    </row>
    <row r="295" spans="1:16" ht="24" x14ac:dyDescent="0.25">
      <c r="A295" s="619"/>
      <c r="B295" s="619"/>
      <c r="C295" s="619" t="s">
        <v>1284</v>
      </c>
      <c r="D295" s="620" t="s">
        <v>1285</v>
      </c>
      <c r="E295" s="619" t="s">
        <v>248</v>
      </c>
      <c r="F295" s="621"/>
      <c r="G295" s="622"/>
      <c r="H295" s="621">
        <v>12</v>
      </c>
      <c r="I295" s="622">
        <f>SUM(I296:I298)</f>
        <v>8.06</v>
      </c>
      <c r="J295" s="622">
        <f>SUM(J296:J298)</f>
        <v>10</v>
      </c>
      <c r="K295" s="622">
        <f>I295+J295</f>
        <v>18.060000000000002</v>
      </c>
      <c r="L295" s="622">
        <f>H295*I295</f>
        <v>96.72</v>
      </c>
      <c r="M295" s="622">
        <f>H295*J295</f>
        <v>120</v>
      </c>
      <c r="N295" s="622">
        <f>L295+M295</f>
        <v>216.72</v>
      </c>
      <c r="O295" s="622">
        <f>N295*$P$4</f>
        <v>53.226432000000003</v>
      </c>
      <c r="P295" s="622">
        <f>N295+O295</f>
        <v>269.94643200000002</v>
      </c>
    </row>
    <row r="296" spans="1:16" x14ac:dyDescent="0.25">
      <c r="A296" s="611" t="s">
        <v>1225</v>
      </c>
      <c r="B296" s="611" t="s">
        <v>1286</v>
      </c>
      <c r="C296" s="611"/>
      <c r="D296" s="612" t="s">
        <v>1287</v>
      </c>
      <c r="E296" s="611" t="s">
        <v>248</v>
      </c>
      <c r="F296" s="613">
        <v>1.1000000000000001</v>
      </c>
      <c r="G296" s="614">
        <v>7.33</v>
      </c>
      <c r="H296" s="613"/>
      <c r="I296" s="623">
        <f>ROUND(F296*G296,2)</f>
        <v>8.06</v>
      </c>
      <c r="J296" s="614"/>
      <c r="K296" s="614">
        <f t="shared" ref="K296:K298" si="84">I296+J296</f>
        <v>8.06</v>
      </c>
      <c r="L296" s="614"/>
      <c r="M296" s="614"/>
      <c r="N296" s="614"/>
      <c r="O296" s="614"/>
      <c r="P296" s="614"/>
    </row>
    <row r="297" spans="1:16" x14ac:dyDescent="0.25">
      <c r="A297" s="611" t="s">
        <v>277</v>
      </c>
      <c r="B297" s="611">
        <v>2436</v>
      </c>
      <c r="C297" s="611"/>
      <c r="D297" s="612" t="s">
        <v>1069</v>
      </c>
      <c r="E297" s="611" t="s">
        <v>229</v>
      </c>
      <c r="F297" s="613">
        <v>0.45</v>
      </c>
      <c r="G297" s="614">
        <v>12.57</v>
      </c>
      <c r="H297" s="613"/>
      <c r="I297" s="614"/>
      <c r="J297" s="614">
        <f t="shared" ref="J297:J298" si="85">ROUND(F297*G297,2)</f>
        <v>5.66</v>
      </c>
      <c r="K297" s="614">
        <f t="shared" si="84"/>
        <v>5.66</v>
      </c>
      <c r="L297" s="614"/>
      <c r="M297" s="614"/>
      <c r="N297" s="614"/>
      <c r="O297" s="614"/>
      <c r="P297" s="614"/>
    </row>
    <row r="298" spans="1:16" x14ac:dyDescent="0.25">
      <c r="A298" s="611" t="s">
        <v>277</v>
      </c>
      <c r="B298" s="611">
        <v>247</v>
      </c>
      <c r="C298" s="611"/>
      <c r="D298" s="612" t="s">
        <v>1070</v>
      </c>
      <c r="E298" s="611" t="s">
        <v>229</v>
      </c>
      <c r="F298" s="613">
        <v>0.45</v>
      </c>
      <c r="G298" s="614">
        <v>9.65</v>
      </c>
      <c r="H298" s="613"/>
      <c r="I298" s="614"/>
      <c r="J298" s="614">
        <f t="shared" si="85"/>
        <v>4.34</v>
      </c>
      <c r="K298" s="614">
        <f t="shared" si="84"/>
        <v>4.34</v>
      </c>
      <c r="L298" s="614"/>
      <c r="M298" s="614"/>
      <c r="N298" s="614"/>
      <c r="O298" s="614"/>
      <c r="P298" s="614"/>
    </row>
    <row r="299" spans="1:16" x14ac:dyDescent="0.25">
      <c r="A299" s="611"/>
      <c r="B299" s="611"/>
      <c r="C299" s="611"/>
      <c r="D299" s="612"/>
      <c r="E299" s="611"/>
      <c r="F299" s="613"/>
      <c r="G299" s="614"/>
      <c r="H299" s="613"/>
      <c r="I299" s="614"/>
      <c r="J299" s="614"/>
      <c r="K299" s="614"/>
      <c r="L299" s="614"/>
      <c r="M299" s="614"/>
      <c r="N299" s="614"/>
      <c r="O299" s="614"/>
      <c r="P299" s="614"/>
    </row>
    <row r="300" spans="1:16" x14ac:dyDescent="0.25">
      <c r="A300" s="611"/>
      <c r="B300" s="611"/>
      <c r="C300" s="611"/>
      <c r="D300" s="629" t="s">
        <v>1288</v>
      </c>
      <c r="E300" s="611"/>
      <c r="F300" s="613"/>
      <c r="G300" s="614"/>
      <c r="H300" s="613"/>
      <c r="I300" s="614"/>
      <c r="J300" s="614"/>
      <c r="K300" s="614"/>
      <c r="L300" s="614"/>
      <c r="M300" s="614"/>
      <c r="N300" s="614"/>
      <c r="O300" s="614"/>
      <c r="P300" s="614"/>
    </row>
    <row r="301" spans="1:16" x14ac:dyDescent="0.25">
      <c r="A301" s="611"/>
      <c r="B301" s="611"/>
      <c r="C301" s="611"/>
      <c r="D301" s="612"/>
      <c r="E301" s="611"/>
      <c r="F301" s="613"/>
      <c r="G301" s="614"/>
      <c r="H301" s="613"/>
      <c r="I301" s="614"/>
      <c r="J301" s="614"/>
      <c r="K301" s="614"/>
      <c r="L301" s="614"/>
      <c r="M301" s="614"/>
      <c r="N301" s="614"/>
      <c r="O301" s="614"/>
      <c r="P301" s="614"/>
    </row>
    <row r="302" spans="1:16" x14ac:dyDescent="0.25">
      <c r="A302" s="619"/>
      <c r="B302" s="619"/>
      <c r="C302" s="619" t="s">
        <v>1283</v>
      </c>
      <c r="D302" s="620" t="s">
        <v>1289</v>
      </c>
      <c r="E302" s="619" t="s">
        <v>248</v>
      </c>
      <c r="F302" s="621"/>
      <c r="G302" s="622"/>
      <c r="H302" s="621">
        <v>431</v>
      </c>
      <c r="I302" s="622">
        <f>SUM(I303:I314)</f>
        <v>27.78</v>
      </c>
      <c r="J302" s="622">
        <f>SUM(J303:J314)</f>
        <v>11.120000000000001</v>
      </c>
      <c r="K302" s="622">
        <f>I302+J302</f>
        <v>38.900000000000006</v>
      </c>
      <c r="L302" s="622">
        <f>H302*I302</f>
        <v>11973.18</v>
      </c>
      <c r="M302" s="622">
        <f>H302*J302</f>
        <v>4792.72</v>
      </c>
      <c r="N302" s="622">
        <f>L302+M302</f>
        <v>16765.900000000001</v>
      </c>
      <c r="O302" s="622">
        <f>N302*$P$4</f>
        <v>4117.7050400000007</v>
      </c>
      <c r="P302" s="622">
        <f>N302+O302</f>
        <v>20883.605040000002</v>
      </c>
    </row>
    <row r="303" spans="1:16" ht="36" x14ac:dyDescent="0.25">
      <c r="A303" s="611" t="s">
        <v>1108</v>
      </c>
      <c r="B303" s="611" t="s">
        <v>1290</v>
      </c>
      <c r="C303" s="611"/>
      <c r="D303" s="612" t="s">
        <v>1291</v>
      </c>
      <c r="E303" s="611" t="s">
        <v>248</v>
      </c>
      <c r="F303" s="613">
        <v>1</v>
      </c>
      <c r="G303" s="614">
        <v>21.69</v>
      </c>
      <c r="H303" s="613"/>
      <c r="I303" s="614">
        <f>ROUND(F303*G303,2)</f>
        <v>21.69</v>
      </c>
      <c r="J303" s="614"/>
      <c r="K303" s="614">
        <f t="shared" ref="K303:K314" si="86">I303+J303</f>
        <v>21.69</v>
      </c>
      <c r="L303" s="614"/>
      <c r="M303" s="614"/>
      <c r="N303" s="614"/>
      <c r="O303" s="614"/>
      <c r="P303" s="614"/>
    </row>
    <row r="304" spans="1:16" x14ac:dyDescent="0.25">
      <c r="A304" s="611" t="s">
        <v>1108</v>
      </c>
      <c r="B304" s="611" t="s">
        <v>1290</v>
      </c>
      <c r="C304" s="611"/>
      <c r="D304" s="612" t="s">
        <v>1292</v>
      </c>
      <c r="E304" s="611" t="s">
        <v>251</v>
      </c>
      <c r="F304" s="613">
        <v>0.33</v>
      </c>
      <c r="G304" s="614">
        <v>3.37</v>
      </c>
      <c r="H304" s="613"/>
      <c r="I304" s="614">
        <f t="shared" ref="I304:I312" si="87">ROUND(F304*G304,2)</f>
        <v>1.1100000000000001</v>
      </c>
      <c r="J304" s="614"/>
      <c r="K304" s="614">
        <f t="shared" si="86"/>
        <v>1.1100000000000001</v>
      </c>
      <c r="L304" s="614"/>
      <c r="M304" s="614"/>
      <c r="N304" s="614"/>
      <c r="O304" s="614"/>
      <c r="P304" s="614"/>
    </row>
    <row r="305" spans="1:16" x14ac:dyDescent="0.25">
      <c r="A305" s="611" t="s">
        <v>1108</v>
      </c>
      <c r="B305" s="611" t="s">
        <v>1290</v>
      </c>
      <c r="C305" s="611"/>
      <c r="D305" s="612" t="s">
        <v>1293</v>
      </c>
      <c r="E305" s="611" t="s">
        <v>251</v>
      </c>
      <c r="F305" s="613">
        <v>0.67</v>
      </c>
      <c r="G305" s="614">
        <v>2.69</v>
      </c>
      <c r="H305" s="613"/>
      <c r="I305" s="614">
        <f t="shared" si="87"/>
        <v>1.8</v>
      </c>
      <c r="J305" s="614"/>
      <c r="K305" s="614">
        <f t="shared" si="86"/>
        <v>1.8</v>
      </c>
      <c r="L305" s="614"/>
      <c r="M305" s="614"/>
      <c r="N305" s="614"/>
      <c r="O305" s="614"/>
      <c r="P305" s="614"/>
    </row>
    <row r="306" spans="1:16" x14ac:dyDescent="0.25">
      <c r="A306" s="611" t="s">
        <v>1108</v>
      </c>
      <c r="B306" s="611" t="s">
        <v>1290</v>
      </c>
      <c r="C306" s="611"/>
      <c r="D306" s="612" t="s">
        <v>1294</v>
      </c>
      <c r="E306" s="611" t="s">
        <v>251</v>
      </c>
      <c r="F306" s="613">
        <v>0.67</v>
      </c>
      <c r="G306" s="614">
        <v>0.86</v>
      </c>
      <c r="H306" s="613"/>
      <c r="I306" s="614">
        <f t="shared" si="87"/>
        <v>0.57999999999999996</v>
      </c>
      <c r="J306" s="614"/>
      <c r="K306" s="614">
        <f t="shared" si="86"/>
        <v>0.57999999999999996</v>
      </c>
      <c r="L306" s="614"/>
      <c r="M306" s="614"/>
      <c r="N306" s="614"/>
      <c r="O306" s="614"/>
      <c r="P306" s="614"/>
    </row>
    <row r="307" spans="1:16" x14ac:dyDescent="0.25">
      <c r="A307" s="611" t="s">
        <v>1108</v>
      </c>
      <c r="B307" s="611" t="s">
        <v>1295</v>
      </c>
      <c r="C307" s="611"/>
      <c r="D307" s="612" t="s">
        <v>1296</v>
      </c>
      <c r="E307" s="611" t="s">
        <v>248</v>
      </c>
      <c r="F307" s="613">
        <v>0.2</v>
      </c>
      <c r="G307" s="614">
        <v>1.4</v>
      </c>
      <c r="H307" s="613"/>
      <c r="I307" s="614">
        <f t="shared" si="87"/>
        <v>0.28000000000000003</v>
      </c>
      <c r="J307" s="614"/>
      <c r="K307" s="614">
        <f t="shared" si="86"/>
        <v>0.28000000000000003</v>
      </c>
      <c r="L307" s="614"/>
      <c r="M307" s="614"/>
      <c r="N307" s="614"/>
      <c r="O307" s="614"/>
      <c r="P307" s="614"/>
    </row>
    <row r="308" spans="1:16" x14ac:dyDescent="0.25">
      <c r="A308" s="611" t="s">
        <v>1108</v>
      </c>
      <c r="B308" s="611" t="s">
        <v>1290</v>
      </c>
      <c r="C308" s="611"/>
      <c r="D308" s="612" t="s">
        <v>1297</v>
      </c>
      <c r="E308" s="611" t="s">
        <v>251</v>
      </c>
      <c r="F308" s="613">
        <v>1</v>
      </c>
      <c r="G308" s="614">
        <v>0.78</v>
      </c>
      <c r="H308" s="613"/>
      <c r="I308" s="614">
        <f t="shared" si="87"/>
        <v>0.78</v>
      </c>
      <c r="J308" s="614"/>
      <c r="K308" s="614">
        <f t="shared" si="86"/>
        <v>0.78</v>
      </c>
      <c r="L308" s="614"/>
      <c r="M308" s="614"/>
      <c r="N308" s="614"/>
      <c r="O308" s="614"/>
      <c r="P308" s="614"/>
    </row>
    <row r="309" spans="1:16" x14ac:dyDescent="0.25">
      <c r="A309" s="611" t="s">
        <v>277</v>
      </c>
      <c r="B309" s="611">
        <v>4350</v>
      </c>
      <c r="C309" s="611"/>
      <c r="D309" s="612" t="s">
        <v>1298</v>
      </c>
      <c r="E309" s="611" t="s">
        <v>251</v>
      </c>
      <c r="F309" s="613">
        <v>1.33</v>
      </c>
      <c r="G309" s="614">
        <v>0.48</v>
      </c>
      <c r="H309" s="613"/>
      <c r="I309" s="614">
        <f t="shared" si="87"/>
        <v>0.64</v>
      </c>
      <c r="J309" s="614"/>
      <c r="K309" s="614">
        <f t="shared" si="86"/>
        <v>0.64</v>
      </c>
      <c r="L309" s="614"/>
      <c r="M309" s="614"/>
      <c r="N309" s="614"/>
      <c r="O309" s="614"/>
      <c r="P309" s="614"/>
    </row>
    <row r="310" spans="1:16" x14ac:dyDescent="0.25">
      <c r="A310" s="611" t="s">
        <v>1108</v>
      </c>
      <c r="B310" s="611" t="s">
        <v>1290</v>
      </c>
      <c r="C310" s="611"/>
      <c r="D310" s="612" t="s">
        <v>1299</v>
      </c>
      <c r="E310" s="611" t="s">
        <v>251</v>
      </c>
      <c r="F310" s="613">
        <v>6</v>
      </c>
      <c r="G310" s="614">
        <v>0.08</v>
      </c>
      <c r="H310" s="613"/>
      <c r="I310" s="614">
        <f t="shared" si="87"/>
        <v>0.48</v>
      </c>
      <c r="J310" s="614"/>
      <c r="K310" s="614">
        <f t="shared" si="86"/>
        <v>0.48</v>
      </c>
      <c r="L310" s="614"/>
      <c r="M310" s="614"/>
      <c r="N310" s="614"/>
      <c r="O310" s="614"/>
      <c r="P310" s="614"/>
    </row>
    <row r="311" spans="1:16" x14ac:dyDescent="0.25">
      <c r="A311" s="611" t="s">
        <v>1108</v>
      </c>
      <c r="B311" s="611" t="s">
        <v>1290</v>
      </c>
      <c r="C311" s="611"/>
      <c r="D311" s="612" t="s">
        <v>1300</v>
      </c>
      <c r="E311" s="611" t="s">
        <v>251</v>
      </c>
      <c r="F311" s="613">
        <v>6</v>
      </c>
      <c r="G311" s="614">
        <v>0.04</v>
      </c>
      <c r="H311" s="613"/>
      <c r="I311" s="614">
        <f t="shared" si="87"/>
        <v>0.24</v>
      </c>
      <c r="J311" s="614"/>
      <c r="K311" s="614">
        <f t="shared" si="86"/>
        <v>0.24</v>
      </c>
      <c r="L311" s="614"/>
      <c r="M311" s="614"/>
      <c r="N311" s="614"/>
      <c r="O311" s="614"/>
      <c r="P311" s="614"/>
    </row>
    <row r="312" spans="1:16" x14ac:dyDescent="0.25">
      <c r="A312" s="611" t="s">
        <v>1108</v>
      </c>
      <c r="B312" s="611" t="s">
        <v>1290</v>
      </c>
      <c r="C312" s="611"/>
      <c r="D312" s="612" t="s">
        <v>1301</v>
      </c>
      <c r="E312" s="611" t="s">
        <v>251</v>
      </c>
      <c r="F312" s="613">
        <v>6</v>
      </c>
      <c r="G312" s="614">
        <v>0.03</v>
      </c>
      <c r="H312" s="613"/>
      <c r="I312" s="614">
        <f t="shared" si="87"/>
        <v>0.18</v>
      </c>
      <c r="J312" s="614"/>
      <c r="K312" s="614">
        <f t="shared" si="86"/>
        <v>0.18</v>
      </c>
      <c r="L312" s="614"/>
      <c r="M312" s="614"/>
      <c r="N312" s="614"/>
      <c r="O312" s="614"/>
      <c r="P312" s="614"/>
    </row>
    <row r="313" spans="1:16" x14ac:dyDescent="0.25">
      <c r="A313" s="611" t="s">
        <v>277</v>
      </c>
      <c r="B313" s="611">
        <v>2436</v>
      </c>
      <c r="C313" s="611"/>
      <c r="D313" s="612" t="s">
        <v>1069</v>
      </c>
      <c r="E313" s="611" t="s">
        <v>229</v>
      </c>
      <c r="F313" s="613">
        <v>0.5</v>
      </c>
      <c r="G313" s="614">
        <v>12.57</v>
      </c>
      <c r="H313" s="613"/>
      <c r="I313" s="614"/>
      <c r="J313" s="614">
        <f>ROUND(F313*G313,2)</f>
        <v>6.29</v>
      </c>
      <c r="K313" s="614">
        <f t="shared" si="86"/>
        <v>6.29</v>
      </c>
      <c r="L313" s="614"/>
      <c r="M313" s="614"/>
      <c r="N313" s="614"/>
      <c r="O313" s="614"/>
      <c r="P313" s="614"/>
    </row>
    <row r="314" spans="1:16" x14ac:dyDescent="0.25">
      <c r="A314" s="611" t="s">
        <v>277</v>
      </c>
      <c r="B314" s="611">
        <v>247</v>
      </c>
      <c r="C314" s="611"/>
      <c r="D314" s="612" t="s">
        <v>1070</v>
      </c>
      <c r="E314" s="611" t="s">
        <v>229</v>
      </c>
      <c r="F314" s="613">
        <v>0.5</v>
      </c>
      <c r="G314" s="614">
        <v>9.65</v>
      </c>
      <c r="H314" s="613"/>
      <c r="I314" s="614"/>
      <c r="J314" s="614">
        <f>ROUND(F314*G314,2)</f>
        <v>4.83</v>
      </c>
      <c r="K314" s="614">
        <f t="shared" si="86"/>
        <v>4.83</v>
      </c>
      <c r="L314" s="614"/>
      <c r="M314" s="614"/>
      <c r="N314" s="614"/>
      <c r="O314" s="614"/>
      <c r="P314" s="614"/>
    </row>
    <row r="315" spans="1:16" ht="36" x14ac:dyDescent="0.25">
      <c r="A315" s="619"/>
      <c r="B315" s="619"/>
      <c r="C315" s="619" t="s">
        <v>1284</v>
      </c>
      <c r="D315" s="620" t="s">
        <v>1302</v>
      </c>
      <c r="E315" s="619" t="s">
        <v>248</v>
      </c>
      <c r="F315" s="621"/>
      <c r="G315" s="622"/>
      <c r="H315" s="621">
        <f>32+3</f>
        <v>35</v>
      </c>
      <c r="I315" s="622">
        <f>SUM(I316:I325)</f>
        <v>30.179999999999996</v>
      </c>
      <c r="J315" s="622">
        <f>SUM(J316:J325)</f>
        <v>10.64</v>
      </c>
      <c r="K315" s="622">
        <f>I315+J315</f>
        <v>40.819999999999993</v>
      </c>
      <c r="L315" s="622">
        <f>H315*I315</f>
        <v>1056.3</v>
      </c>
      <c r="M315" s="622">
        <f>H315*J315</f>
        <v>372.40000000000003</v>
      </c>
      <c r="N315" s="622">
        <f>L315+M315</f>
        <v>1428.7</v>
      </c>
      <c r="O315" s="622">
        <f>N315*$P$4</f>
        <v>350.88872000000003</v>
      </c>
      <c r="P315" s="622">
        <f>N315+O315</f>
        <v>1779.5887200000002</v>
      </c>
    </row>
    <row r="316" spans="1:16" ht="36" x14ac:dyDescent="0.25">
      <c r="A316" s="611" t="s">
        <v>1108</v>
      </c>
      <c r="B316" s="611" t="s">
        <v>1290</v>
      </c>
      <c r="C316" s="611"/>
      <c r="D316" s="612" t="s">
        <v>1303</v>
      </c>
      <c r="E316" s="611" t="s">
        <v>248</v>
      </c>
      <c r="F316" s="613">
        <v>1</v>
      </c>
      <c r="G316" s="614">
        <v>22.33</v>
      </c>
      <c r="H316" s="613"/>
      <c r="I316" s="614">
        <f t="shared" ref="I316:I323" si="88">ROUND(F316*G316,2)</f>
        <v>22.33</v>
      </c>
      <c r="J316" s="614"/>
      <c r="K316" s="614">
        <f t="shared" ref="K316:K325" si="89">I316+J316</f>
        <v>22.33</v>
      </c>
      <c r="L316" s="614"/>
      <c r="M316" s="614"/>
      <c r="N316" s="614"/>
      <c r="O316" s="614"/>
      <c r="P316" s="614"/>
    </row>
    <row r="317" spans="1:16" x14ac:dyDescent="0.25">
      <c r="A317" s="611" t="s">
        <v>277</v>
      </c>
      <c r="B317" s="611">
        <v>84660</v>
      </c>
      <c r="C317" s="611"/>
      <c r="D317" s="612" t="s">
        <v>1162</v>
      </c>
      <c r="E317" s="611" t="s">
        <v>253</v>
      </c>
      <c r="F317" s="613">
        <v>0.35</v>
      </c>
      <c r="G317" s="614">
        <v>5.3</v>
      </c>
      <c r="H317" s="613"/>
      <c r="I317" s="623">
        <f>ROUND(F317*G317*0.76,2)</f>
        <v>1.41</v>
      </c>
      <c r="J317" s="614">
        <f>ROUND(F317*G317-I317,2)</f>
        <v>0.45</v>
      </c>
      <c r="K317" s="614">
        <f t="shared" si="89"/>
        <v>1.8599999999999999</v>
      </c>
      <c r="L317" s="614"/>
      <c r="M317" s="614"/>
      <c r="N317" s="614"/>
      <c r="O317" s="614"/>
      <c r="P317" s="614"/>
    </row>
    <row r="318" spans="1:16" x14ac:dyDescent="0.25">
      <c r="A318" s="611" t="s">
        <v>277</v>
      </c>
      <c r="B318" s="611" t="s">
        <v>1163</v>
      </c>
      <c r="C318" s="611"/>
      <c r="D318" s="612" t="s">
        <v>1304</v>
      </c>
      <c r="E318" s="611" t="s">
        <v>253</v>
      </c>
      <c r="F318" s="613">
        <v>0.35</v>
      </c>
      <c r="G318" s="614">
        <v>21.42</v>
      </c>
      <c r="H318" s="613"/>
      <c r="I318" s="614">
        <f>ROUND(0.53*F318*G318,2)</f>
        <v>3.97</v>
      </c>
      <c r="J318" s="614">
        <f>ROUND(0.47*F318*G318,2)</f>
        <v>3.52</v>
      </c>
      <c r="K318" s="614">
        <f t="shared" si="89"/>
        <v>7.49</v>
      </c>
      <c r="L318" s="614"/>
      <c r="M318" s="614"/>
      <c r="N318" s="614"/>
      <c r="O318" s="614"/>
      <c r="P318" s="614"/>
    </row>
    <row r="319" spans="1:16" x14ac:dyDescent="0.25">
      <c r="A319" s="611" t="s">
        <v>1108</v>
      </c>
      <c r="B319" s="611" t="s">
        <v>1290</v>
      </c>
      <c r="C319" s="611"/>
      <c r="D319" s="612" t="s">
        <v>1292</v>
      </c>
      <c r="E319" s="611" t="s">
        <v>251</v>
      </c>
      <c r="F319" s="613">
        <v>0.33</v>
      </c>
      <c r="G319" s="614">
        <v>3.37</v>
      </c>
      <c r="H319" s="613"/>
      <c r="I319" s="614">
        <f t="shared" si="88"/>
        <v>1.1100000000000001</v>
      </c>
      <c r="J319" s="614"/>
      <c r="K319" s="614">
        <f t="shared" si="89"/>
        <v>1.1100000000000001</v>
      </c>
      <c r="L319" s="614"/>
      <c r="M319" s="614"/>
      <c r="N319" s="614"/>
      <c r="O319" s="614"/>
      <c r="P319" s="614"/>
    </row>
    <row r="320" spans="1:16" x14ac:dyDescent="0.25">
      <c r="A320" s="611" t="s">
        <v>277</v>
      </c>
      <c r="B320" s="611">
        <v>4350</v>
      </c>
      <c r="C320" s="611"/>
      <c r="D320" s="612" t="s">
        <v>1298</v>
      </c>
      <c r="E320" s="611" t="s">
        <v>251</v>
      </c>
      <c r="F320" s="613">
        <v>2</v>
      </c>
      <c r="G320" s="614">
        <v>0.48</v>
      </c>
      <c r="H320" s="613"/>
      <c r="I320" s="614">
        <f t="shared" si="88"/>
        <v>0.96</v>
      </c>
      <c r="J320" s="614"/>
      <c r="K320" s="614">
        <f t="shared" si="89"/>
        <v>0.96</v>
      </c>
      <c r="L320" s="614"/>
      <c r="M320" s="614"/>
      <c r="N320" s="614"/>
      <c r="O320" s="614"/>
      <c r="P320" s="614"/>
    </row>
    <row r="321" spans="1:16" x14ac:dyDescent="0.25">
      <c r="A321" s="611" t="s">
        <v>1108</v>
      </c>
      <c r="B321" s="611" t="s">
        <v>1290</v>
      </c>
      <c r="C321" s="611"/>
      <c r="D321" s="612" t="s">
        <v>1299</v>
      </c>
      <c r="E321" s="611" t="s">
        <v>251</v>
      </c>
      <c r="F321" s="613">
        <v>2.67</v>
      </c>
      <c r="G321" s="614">
        <v>0.08</v>
      </c>
      <c r="H321" s="613"/>
      <c r="I321" s="614">
        <f t="shared" si="88"/>
        <v>0.21</v>
      </c>
      <c r="J321" s="614"/>
      <c r="K321" s="614">
        <f t="shared" si="89"/>
        <v>0.21</v>
      </c>
      <c r="L321" s="614"/>
      <c r="M321" s="614"/>
      <c r="N321" s="614"/>
      <c r="O321" s="614"/>
      <c r="P321" s="614"/>
    </row>
    <row r="322" spans="1:16" x14ac:dyDescent="0.25">
      <c r="A322" s="611" t="s">
        <v>1108</v>
      </c>
      <c r="B322" s="611" t="s">
        <v>1290</v>
      </c>
      <c r="C322" s="611"/>
      <c r="D322" s="612" t="s">
        <v>1300</v>
      </c>
      <c r="E322" s="611" t="s">
        <v>251</v>
      </c>
      <c r="F322" s="613">
        <v>2.67</v>
      </c>
      <c r="G322" s="614">
        <v>0.04</v>
      </c>
      <c r="H322" s="613"/>
      <c r="I322" s="614">
        <f t="shared" si="88"/>
        <v>0.11</v>
      </c>
      <c r="J322" s="614"/>
      <c r="K322" s="614">
        <f t="shared" si="89"/>
        <v>0.11</v>
      </c>
      <c r="L322" s="614"/>
      <c r="M322" s="614"/>
      <c r="N322" s="614"/>
      <c r="O322" s="614"/>
      <c r="P322" s="614"/>
    </row>
    <row r="323" spans="1:16" x14ac:dyDescent="0.25">
      <c r="A323" s="611" t="s">
        <v>1108</v>
      </c>
      <c r="B323" s="611" t="s">
        <v>1290</v>
      </c>
      <c r="C323" s="611"/>
      <c r="D323" s="612" t="s">
        <v>1301</v>
      </c>
      <c r="E323" s="611" t="s">
        <v>251</v>
      </c>
      <c r="F323" s="613">
        <v>2.67</v>
      </c>
      <c r="G323" s="614">
        <v>0.03</v>
      </c>
      <c r="H323" s="613"/>
      <c r="I323" s="614">
        <f t="shared" si="88"/>
        <v>0.08</v>
      </c>
      <c r="J323" s="614"/>
      <c r="K323" s="614">
        <f t="shared" si="89"/>
        <v>0.08</v>
      </c>
      <c r="L323" s="614"/>
      <c r="M323" s="614"/>
      <c r="N323" s="614"/>
      <c r="O323" s="614"/>
      <c r="P323" s="614"/>
    </row>
    <row r="324" spans="1:16" x14ac:dyDescent="0.25">
      <c r="A324" s="611" t="s">
        <v>277</v>
      </c>
      <c r="B324" s="611">
        <v>2436</v>
      </c>
      <c r="C324" s="611"/>
      <c r="D324" s="612" t="s">
        <v>1069</v>
      </c>
      <c r="E324" s="611" t="s">
        <v>229</v>
      </c>
      <c r="F324" s="613">
        <v>0.3</v>
      </c>
      <c r="G324" s="614">
        <v>12.57</v>
      </c>
      <c r="H324" s="613"/>
      <c r="I324" s="614"/>
      <c r="J324" s="614">
        <f>ROUND(F324*G324,2)</f>
        <v>3.77</v>
      </c>
      <c r="K324" s="614">
        <f t="shared" si="89"/>
        <v>3.77</v>
      </c>
      <c r="L324" s="614"/>
      <c r="M324" s="614"/>
      <c r="N324" s="614"/>
      <c r="O324" s="614"/>
      <c r="P324" s="614"/>
    </row>
    <row r="325" spans="1:16" x14ac:dyDescent="0.25">
      <c r="A325" s="611" t="s">
        <v>277</v>
      </c>
      <c r="B325" s="611">
        <v>247</v>
      </c>
      <c r="C325" s="611"/>
      <c r="D325" s="612" t="s">
        <v>1070</v>
      </c>
      <c r="E325" s="611" t="s">
        <v>229</v>
      </c>
      <c r="F325" s="613">
        <v>0.3</v>
      </c>
      <c r="G325" s="614">
        <v>9.65</v>
      </c>
      <c r="H325" s="613"/>
      <c r="I325" s="614"/>
      <c r="J325" s="614">
        <f>ROUND(F325*G325,2)</f>
        <v>2.9</v>
      </c>
      <c r="K325" s="614">
        <f t="shared" si="89"/>
        <v>2.9</v>
      </c>
      <c r="L325" s="614"/>
      <c r="M325" s="614"/>
      <c r="N325" s="614"/>
      <c r="O325" s="614"/>
      <c r="P325" s="614"/>
    </row>
    <row r="326" spans="1:16" x14ac:dyDescent="0.25">
      <c r="A326" s="619"/>
      <c r="B326" s="619"/>
      <c r="C326" s="619" t="s">
        <v>1305</v>
      </c>
      <c r="D326" s="620" t="s">
        <v>1306</v>
      </c>
      <c r="E326" s="619" t="s">
        <v>248</v>
      </c>
      <c r="F326" s="621"/>
      <c r="G326" s="622"/>
      <c r="H326" s="621">
        <v>36</v>
      </c>
      <c r="I326" s="622">
        <f>SUM(I327:I338)</f>
        <v>31.229999999999997</v>
      </c>
      <c r="J326" s="622">
        <f>SUM(J327:J338)</f>
        <v>13.33</v>
      </c>
      <c r="K326" s="622">
        <f>I326+J326</f>
        <v>44.559999999999995</v>
      </c>
      <c r="L326" s="622">
        <f>H326*I326</f>
        <v>1124.28</v>
      </c>
      <c r="M326" s="622">
        <f>H326*J326</f>
        <v>479.88</v>
      </c>
      <c r="N326" s="622">
        <f>L326+M326</f>
        <v>1604.1599999999999</v>
      </c>
      <c r="O326" s="622">
        <f>N326*$P$4</f>
        <v>393.981696</v>
      </c>
      <c r="P326" s="622">
        <f>N326+O326</f>
        <v>1998.1416959999999</v>
      </c>
    </row>
    <row r="327" spans="1:16" ht="36" x14ac:dyDescent="0.25">
      <c r="A327" s="611" t="s">
        <v>1108</v>
      </c>
      <c r="B327" s="611" t="s">
        <v>1290</v>
      </c>
      <c r="C327" s="611"/>
      <c r="D327" s="612" t="s">
        <v>1307</v>
      </c>
      <c r="E327" s="611" t="s">
        <v>248</v>
      </c>
      <c r="F327" s="613">
        <v>1</v>
      </c>
      <c r="G327" s="614">
        <v>24.48</v>
      </c>
      <c r="H327" s="613"/>
      <c r="I327" s="614">
        <f>ROUND(F327*G327,2)</f>
        <v>24.48</v>
      </c>
      <c r="J327" s="614"/>
      <c r="K327" s="614">
        <f t="shared" ref="K327:K362" si="90">I327+J327</f>
        <v>24.48</v>
      </c>
      <c r="L327" s="614"/>
      <c r="M327" s="614"/>
      <c r="N327" s="614"/>
      <c r="O327" s="614"/>
      <c r="P327" s="614"/>
    </row>
    <row r="328" spans="1:16" x14ac:dyDescent="0.25">
      <c r="A328" s="611" t="s">
        <v>1108</v>
      </c>
      <c r="B328" s="611" t="s">
        <v>1290</v>
      </c>
      <c r="C328" s="611"/>
      <c r="D328" s="612" t="s">
        <v>1308</v>
      </c>
      <c r="E328" s="611" t="s">
        <v>251</v>
      </c>
      <c r="F328" s="613">
        <v>0.33</v>
      </c>
      <c r="G328" s="614">
        <v>4.53</v>
      </c>
      <c r="H328" s="613"/>
      <c r="I328" s="614">
        <f t="shared" ref="I328:I336" si="91">ROUND(F328*G328,2)</f>
        <v>1.49</v>
      </c>
      <c r="J328" s="614"/>
      <c r="K328" s="614">
        <f t="shared" si="90"/>
        <v>1.49</v>
      </c>
      <c r="L328" s="614"/>
      <c r="M328" s="614"/>
      <c r="N328" s="614"/>
      <c r="O328" s="614"/>
      <c r="P328" s="614"/>
    </row>
    <row r="329" spans="1:16" x14ac:dyDescent="0.25">
      <c r="A329" s="611" t="s">
        <v>1108</v>
      </c>
      <c r="B329" s="611" t="s">
        <v>1290</v>
      </c>
      <c r="C329" s="611"/>
      <c r="D329" s="612" t="s">
        <v>1309</v>
      </c>
      <c r="E329" s="611" t="s">
        <v>251</v>
      </c>
      <c r="F329" s="613">
        <v>0.67</v>
      </c>
      <c r="G329" s="614">
        <v>3.1</v>
      </c>
      <c r="H329" s="613"/>
      <c r="I329" s="614">
        <f t="shared" si="91"/>
        <v>2.08</v>
      </c>
      <c r="J329" s="614"/>
      <c r="K329" s="614">
        <f t="shared" si="90"/>
        <v>2.08</v>
      </c>
      <c r="L329" s="614"/>
      <c r="M329" s="614"/>
      <c r="N329" s="614"/>
      <c r="O329" s="614"/>
      <c r="P329" s="614"/>
    </row>
    <row r="330" spans="1:16" x14ac:dyDescent="0.25">
      <c r="A330" s="611" t="s">
        <v>1108</v>
      </c>
      <c r="B330" s="611" t="s">
        <v>1290</v>
      </c>
      <c r="C330" s="611"/>
      <c r="D330" s="612" t="s">
        <v>1294</v>
      </c>
      <c r="E330" s="611" t="s">
        <v>251</v>
      </c>
      <c r="F330" s="613">
        <v>0.67</v>
      </c>
      <c r="G330" s="614">
        <v>0.86</v>
      </c>
      <c r="H330" s="613"/>
      <c r="I330" s="614">
        <f t="shared" si="91"/>
        <v>0.57999999999999996</v>
      </c>
      <c r="J330" s="614"/>
      <c r="K330" s="614">
        <f t="shared" si="90"/>
        <v>0.57999999999999996</v>
      </c>
      <c r="L330" s="614"/>
      <c r="M330" s="614"/>
      <c r="N330" s="614"/>
      <c r="O330" s="614"/>
      <c r="P330" s="614"/>
    </row>
    <row r="331" spans="1:16" x14ac:dyDescent="0.25">
      <c r="A331" s="611" t="s">
        <v>1108</v>
      </c>
      <c r="B331" s="611" t="s">
        <v>1295</v>
      </c>
      <c r="C331" s="611"/>
      <c r="D331" s="612" t="s">
        <v>1296</v>
      </c>
      <c r="E331" s="611" t="s">
        <v>248</v>
      </c>
      <c r="F331" s="613">
        <v>0.2</v>
      </c>
      <c r="G331" s="614">
        <v>1.4</v>
      </c>
      <c r="H331" s="613"/>
      <c r="I331" s="614">
        <f t="shared" si="91"/>
        <v>0.28000000000000003</v>
      </c>
      <c r="J331" s="614"/>
      <c r="K331" s="614">
        <f t="shared" si="90"/>
        <v>0.28000000000000003</v>
      </c>
      <c r="L331" s="614"/>
      <c r="M331" s="614"/>
      <c r="N331" s="614"/>
      <c r="O331" s="614"/>
      <c r="P331" s="614"/>
    </row>
    <row r="332" spans="1:16" x14ac:dyDescent="0.25">
      <c r="A332" s="611" t="s">
        <v>1108</v>
      </c>
      <c r="B332" s="611" t="s">
        <v>1290</v>
      </c>
      <c r="C332" s="611"/>
      <c r="D332" s="612" t="s">
        <v>1297</v>
      </c>
      <c r="E332" s="611" t="s">
        <v>251</v>
      </c>
      <c r="F332" s="613">
        <v>1</v>
      </c>
      <c r="G332" s="614">
        <v>0.78</v>
      </c>
      <c r="H332" s="613"/>
      <c r="I332" s="614">
        <f t="shared" si="91"/>
        <v>0.78</v>
      </c>
      <c r="J332" s="614"/>
      <c r="K332" s="614">
        <f t="shared" si="90"/>
        <v>0.78</v>
      </c>
      <c r="L332" s="614"/>
      <c r="M332" s="614"/>
      <c r="N332" s="614"/>
      <c r="O332" s="614"/>
      <c r="P332" s="614"/>
    </row>
    <row r="333" spans="1:16" x14ac:dyDescent="0.25">
      <c r="A333" s="611" t="s">
        <v>277</v>
      </c>
      <c r="B333" s="611">
        <v>4350</v>
      </c>
      <c r="C333" s="611"/>
      <c r="D333" s="612" t="s">
        <v>1298</v>
      </c>
      <c r="E333" s="611" t="s">
        <v>251</v>
      </c>
      <c r="F333" s="613">
        <v>1.33</v>
      </c>
      <c r="G333" s="614">
        <v>0.48</v>
      </c>
      <c r="H333" s="613"/>
      <c r="I333" s="614">
        <f t="shared" si="91"/>
        <v>0.64</v>
      </c>
      <c r="J333" s="614"/>
      <c r="K333" s="614">
        <f t="shared" si="90"/>
        <v>0.64</v>
      </c>
      <c r="L333" s="614"/>
      <c r="M333" s="614"/>
      <c r="N333" s="614"/>
      <c r="O333" s="614"/>
      <c r="P333" s="614"/>
    </row>
    <row r="334" spans="1:16" x14ac:dyDescent="0.25">
      <c r="A334" s="611" t="s">
        <v>1108</v>
      </c>
      <c r="B334" s="611" t="s">
        <v>1290</v>
      </c>
      <c r="C334" s="611"/>
      <c r="D334" s="612" t="s">
        <v>1299</v>
      </c>
      <c r="E334" s="611" t="s">
        <v>251</v>
      </c>
      <c r="F334" s="613">
        <v>6</v>
      </c>
      <c r="G334" s="614">
        <v>0.08</v>
      </c>
      <c r="H334" s="613"/>
      <c r="I334" s="614">
        <f t="shared" si="91"/>
        <v>0.48</v>
      </c>
      <c r="J334" s="614"/>
      <c r="K334" s="614">
        <f t="shared" si="90"/>
        <v>0.48</v>
      </c>
      <c r="L334" s="614"/>
      <c r="M334" s="614"/>
      <c r="N334" s="614"/>
      <c r="O334" s="614"/>
      <c r="P334" s="614"/>
    </row>
    <row r="335" spans="1:16" x14ac:dyDescent="0.25">
      <c r="A335" s="611" t="s">
        <v>1108</v>
      </c>
      <c r="B335" s="611" t="s">
        <v>1290</v>
      </c>
      <c r="C335" s="611"/>
      <c r="D335" s="612" t="s">
        <v>1300</v>
      </c>
      <c r="E335" s="611" t="s">
        <v>251</v>
      </c>
      <c r="F335" s="613">
        <v>6</v>
      </c>
      <c r="G335" s="614">
        <v>0.04</v>
      </c>
      <c r="H335" s="613"/>
      <c r="I335" s="614">
        <f t="shared" si="91"/>
        <v>0.24</v>
      </c>
      <c r="J335" s="614"/>
      <c r="K335" s="614">
        <f t="shared" si="90"/>
        <v>0.24</v>
      </c>
      <c r="L335" s="614"/>
      <c r="M335" s="614"/>
      <c r="N335" s="614"/>
      <c r="O335" s="614"/>
      <c r="P335" s="614"/>
    </row>
    <row r="336" spans="1:16" x14ac:dyDescent="0.25">
      <c r="A336" s="611" t="s">
        <v>1108</v>
      </c>
      <c r="B336" s="611" t="s">
        <v>1290</v>
      </c>
      <c r="C336" s="611"/>
      <c r="D336" s="612" t="s">
        <v>1301</v>
      </c>
      <c r="E336" s="611" t="s">
        <v>251</v>
      </c>
      <c r="F336" s="613">
        <v>6</v>
      </c>
      <c r="G336" s="614">
        <v>0.03</v>
      </c>
      <c r="H336" s="613"/>
      <c r="I336" s="614">
        <f t="shared" si="91"/>
        <v>0.18</v>
      </c>
      <c r="J336" s="614"/>
      <c r="K336" s="614">
        <f t="shared" si="90"/>
        <v>0.18</v>
      </c>
      <c r="L336" s="614"/>
      <c r="M336" s="614"/>
      <c r="N336" s="614"/>
      <c r="O336" s="614"/>
      <c r="P336" s="614"/>
    </row>
    <row r="337" spans="1:16" x14ac:dyDescent="0.25">
      <c r="A337" s="611" t="s">
        <v>277</v>
      </c>
      <c r="B337" s="611">
        <v>2436</v>
      </c>
      <c r="C337" s="611"/>
      <c r="D337" s="612" t="s">
        <v>1069</v>
      </c>
      <c r="E337" s="611" t="s">
        <v>229</v>
      </c>
      <c r="F337" s="613">
        <v>0.6</v>
      </c>
      <c r="G337" s="614">
        <v>12.57</v>
      </c>
      <c r="H337" s="613"/>
      <c r="I337" s="614"/>
      <c r="J337" s="614">
        <f>ROUND(F337*G337,2)</f>
        <v>7.54</v>
      </c>
      <c r="K337" s="614">
        <f t="shared" si="90"/>
        <v>7.54</v>
      </c>
      <c r="L337" s="614"/>
      <c r="M337" s="614"/>
      <c r="N337" s="614"/>
      <c r="O337" s="614"/>
      <c r="P337" s="614"/>
    </row>
    <row r="338" spans="1:16" x14ac:dyDescent="0.25">
      <c r="A338" s="611" t="s">
        <v>277</v>
      </c>
      <c r="B338" s="611">
        <v>247</v>
      </c>
      <c r="C338" s="611"/>
      <c r="D338" s="612" t="s">
        <v>1070</v>
      </c>
      <c r="E338" s="611" t="s">
        <v>229</v>
      </c>
      <c r="F338" s="613">
        <v>0.6</v>
      </c>
      <c r="G338" s="614">
        <v>9.65</v>
      </c>
      <c r="H338" s="613"/>
      <c r="I338" s="614"/>
      <c r="J338" s="614">
        <f>ROUND(F338*G338,2)</f>
        <v>5.79</v>
      </c>
      <c r="K338" s="614">
        <f t="shared" si="90"/>
        <v>5.79</v>
      </c>
      <c r="L338" s="614"/>
      <c r="M338" s="614"/>
      <c r="N338" s="614"/>
      <c r="O338" s="614"/>
      <c r="P338" s="614"/>
    </row>
    <row r="339" spans="1:16" ht="36" x14ac:dyDescent="0.25">
      <c r="A339" s="619"/>
      <c r="B339" s="619"/>
      <c r="C339" s="619" t="s">
        <v>1310</v>
      </c>
      <c r="D339" s="620" t="s">
        <v>1311</v>
      </c>
      <c r="E339" s="619" t="s">
        <v>248</v>
      </c>
      <c r="F339" s="621"/>
      <c r="G339" s="622"/>
      <c r="H339" s="621">
        <v>10</v>
      </c>
      <c r="I339" s="622">
        <f>SUM(I340:I349)</f>
        <v>36.76</v>
      </c>
      <c r="J339" s="622">
        <f>SUM(J340:J349)</f>
        <v>11.780000000000001</v>
      </c>
      <c r="K339" s="622">
        <f>I339+J339</f>
        <v>48.54</v>
      </c>
      <c r="L339" s="622">
        <f>H339*I339</f>
        <v>367.59999999999997</v>
      </c>
      <c r="M339" s="622">
        <f>H339*J339</f>
        <v>117.80000000000001</v>
      </c>
      <c r="N339" s="622">
        <f>L339+M339</f>
        <v>485.4</v>
      </c>
      <c r="O339" s="622">
        <f>N339*$P$4</f>
        <v>119.21424</v>
      </c>
      <c r="P339" s="622">
        <f>N339+O339</f>
        <v>604.61424</v>
      </c>
    </row>
    <row r="340" spans="1:16" ht="36" x14ac:dyDescent="0.25">
      <c r="A340" s="611" t="s">
        <v>1108</v>
      </c>
      <c r="B340" s="611" t="s">
        <v>1290</v>
      </c>
      <c r="C340" s="611"/>
      <c r="D340" s="612" t="s">
        <v>1312</v>
      </c>
      <c r="E340" s="611" t="s">
        <v>248</v>
      </c>
      <c r="F340" s="613">
        <v>1</v>
      </c>
      <c r="G340" s="614">
        <v>26.99</v>
      </c>
      <c r="H340" s="613"/>
      <c r="I340" s="614">
        <f t="shared" ref="I340:I347" si="92">ROUND(F340*G340,2)</f>
        <v>26.99</v>
      </c>
      <c r="J340" s="614"/>
      <c r="K340" s="614">
        <f t="shared" ref="K340:K349" si="93">I340+J340</f>
        <v>26.99</v>
      </c>
      <c r="L340" s="614"/>
      <c r="M340" s="614"/>
      <c r="N340" s="614"/>
      <c r="O340" s="614"/>
      <c r="P340" s="614"/>
    </row>
    <row r="341" spans="1:16" x14ac:dyDescent="0.25">
      <c r="A341" s="611" t="s">
        <v>277</v>
      </c>
      <c r="B341" s="611">
        <v>84660</v>
      </c>
      <c r="C341" s="611"/>
      <c r="D341" s="612" t="s">
        <v>1162</v>
      </c>
      <c r="E341" s="611" t="s">
        <v>253</v>
      </c>
      <c r="F341" s="613">
        <v>0.45</v>
      </c>
      <c r="G341" s="614">
        <v>5.3</v>
      </c>
      <c r="H341" s="613"/>
      <c r="I341" s="623">
        <f>ROUND(F341*G341*0.76,2)</f>
        <v>1.81</v>
      </c>
      <c r="J341" s="614">
        <f>ROUND(F341*G341-I341,2)</f>
        <v>0.57999999999999996</v>
      </c>
      <c r="K341" s="614">
        <f t="shared" si="93"/>
        <v>2.39</v>
      </c>
      <c r="L341" s="614"/>
      <c r="M341" s="614"/>
      <c r="N341" s="614"/>
      <c r="O341" s="614"/>
      <c r="P341" s="614"/>
    </row>
    <row r="342" spans="1:16" x14ac:dyDescent="0.25">
      <c r="A342" s="611" t="s">
        <v>277</v>
      </c>
      <c r="B342" s="611" t="s">
        <v>1163</v>
      </c>
      <c r="C342" s="611"/>
      <c r="D342" s="612" t="s">
        <v>1304</v>
      </c>
      <c r="E342" s="611" t="s">
        <v>253</v>
      </c>
      <c r="F342" s="613">
        <v>0.45</v>
      </c>
      <c r="G342" s="614">
        <v>21.42</v>
      </c>
      <c r="H342" s="613"/>
      <c r="I342" s="614">
        <f>ROUND(0.53*F342*G342,2)</f>
        <v>5.1100000000000003</v>
      </c>
      <c r="J342" s="614">
        <f>ROUND(0.47*F342*G342,2)</f>
        <v>4.53</v>
      </c>
      <c r="K342" s="614">
        <f t="shared" si="93"/>
        <v>9.64</v>
      </c>
      <c r="L342" s="614"/>
      <c r="M342" s="614"/>
      <c r="N342" s="614"/>
      <c r="O342" s="614"/>
      <c r="P342" s="614"/>
    </row>
    <row r="343" spans="1:16" x14ac:dyDescent="0.25">
      <c r="A343" s="611" t="s">
        <v>1108</v>
      </c>
      <c r="B343" s="611" t="s">
        <v>1290</v>
      </c>
      <c r="C343" s="611"/>
      <c r="D343" s="612" t="s">
        <v>1308</v>
      </c>
      <c r="E343" s="611" t="s">
        <v>251</v>
      </c>
      <c r="F343" s="613">
        <v>0.33</v>
      </c>
      <c r="G343" s="614">
        <v>4.53</v>
      </c>
      <c r="H343" s="613"/>
      <c r="I343" s="614">
        <f t="shared" si="92"/>
        <v>1.49</v>
      </c>
      <c r="J343" s="614"/>
      <c r="K343" s="614">
        <f t="shared" si="93"/>
        <v>1.49</v>
      </c>
      <c r="L343" s="614"/>
      <c r="M343" s="614"/>
      <c r="N343" s="614"/>
      <c r="O343" s="614"/>
      <c r="P343" s="614"/>
    </row>
    <row r="344" spans="1:16" x14ac:dyDescent="0.25">
      <c r="A344" s="611" t="s">
        <v>277</v>
      </c>
      <c r="B344" s="611">
        <v>4350</v>
      </c>
      <c r="C344" s="611"/>
      <c r="D344" s="612" t="s">
        <v>1298</v>
      </c>
      <c r="E344" s="611" t="s">
        <v>251</v>
      </c>
      <c r="F344" s="613">
        <v>2</v>
      </c>
      <c r="G344" s="614">
        <v>0.48</v>
      </c>
      <c r="H344" s="613"/>
      <c r="I344" s="614">
        <f t="shared" si="92"/>
        <v>0.96</v>
      </c>
      <c r="J344" s="614"/>
      <c r="K344" s="614">
        <f t="shared" si="93"/>
        <v>0.96</v>
      </c>
      <c r="L344" s="614"/>
      <c r="M344" s="614"/>
      <c r="N344" s="614"/>
      <c r="O344" s="614"/>
      <c r="P344" s="614"/>
    </row>
    <row r="345" spans="1:16" x14ac:dyDescent="0.25">
      <c r="A345" s="611" t="s">
        <v>1108</v>
      </c>
      <c r="B345" s="611" t="s">
        <v>1290</v>
      </c>
      <c r="C345" s="611"/>
      <c r="D345" s="612" t="s">
        <v>1299</v>
      </c>
      <c r="E345" s="611" t="s">
        <v>251</v>
      </c>
      <c r="F345" s="613">
        <v>2.67</v>
      </c>
      <c r="G345" s="614">
        <v>0.08</v>
      </c>
      <c r="H345" s="613"/>
      <c r="I345" s="614">
        <f t="shared" si="92"/>
        <v>0.21</v>
      </c>
      <c r="J345" s="614"/>
      <c r="K345" s="614">
        <f t="shared" si="93"/>
        <v>0.21</v>
      </c>
      <c r="L345" s="614"/>
      <c r="M345" s="614"/>
      <c r="N345" s="614"/>
      <c r="O345" s="614"/>
      <c r="P345" s="614"/>
    </row>
    <row r="346" spans="1:16" x14ac:dyDescent="0.25">
      <c r="A346" s="611" t="s">
        <v>1108</v>
      </c>
      <c r="B346" s="611" t="s">
        <v>1290</v>
      </c>
      <c r="C346" s="611"/>
      <c r="D346" s="612" t="s">
        <v>1300</v>
      </c>
      <c r="E346" s="611" t="s">
        <v>251</v>
      </c>
      <c r="F346" s="613">
        <v>2.67</v>
      </c>
      <c r="G346" s="614">
        <v>0.04</v>
      </c>
      <c r="H346" s="613"/>
      <c r="I346" s="614">
        <f t="shared" si="92"/>
        <v>0.11</v>
      </c>
      <c r="J346" s="614"/>
      <c r="K346" s="614">
        <f t="shared" si="93"/>
        <v>0.11</v>
      </c>
      <c r="L346" s="614"/>
      <c r="M346" s="614"/>
      <c r="N346" s="614"/>
      <c r="O346" s="614"/>
      <c r="P346" s="614"/>
    </row>
    <row r="347" spans="1:16" x14ac:dyDescent="0.25">
      <c r="A347" s="611" t="s">
        <v>1108</v>
      </c>
      <c r="B347" s="611" t="s">
        <v>1290</v>
      </c>
      <c r="C347" s="611"/>
      <c r="D347" s="612" t="s">
        <v>1301</v>
      </c>
      <c r="E347" s="611" t="s">
        <v>251</v>
      </c>
      <c r="F347" s="613">
        <v>2.67</v>
      </c>
      <c r="G347" s="614">
        <v>0.03</v>
      </c>
      <c r="H347" s="613"/>
      <c r="I347" s="614">
        <f t="shared" si="92"/>
        <v>0.08</v>
      </c>
      <c r="J347" s="614"/>
      <c r="K347" s="614">
        <f t="shared" si="93"/>
        <v>0.08</v>
      </c>
      <c r="L347" s="614"/>
      <c r="M347" s="614"/>
      <c r="N347" s="614"/>
      <c r="O347" s="614"/>
      <c r="P347" s="614"/>
    </row>
    <row r="348" spans="1:16" x14ac:dyDescent="0.25">
      <c r="A348" s="611" t="s">
        <v>277</v>
      </c>
      <c r="B348" s="611">
        <v>2436</v>
      </c>
      <c r="C348" s="611"/>
      <c r="D348" s="612" t="s">
        <v>1069</v>
      </c>
      <c r="E348" s="611" t="s">
        <v>229</v>
      </c>
      <c r="F348" s="613">
        <v>0.3</v>
      </c>
      <c r="G348" s="614">
        <v>12.57</v>
      </c>
      <c r="H348" s="613"/>
      <c r="I348" s="614"/>
      <c r="J348" s="614">
        <f>ROUND(F348*G348,2)</f>
        <v>3.77</v>
      </c>
      <c r="K348" s="614">
        <f t="shared" si="93"/>
        <v>3.77</v>
      </c>
      <c r="L348" s="614"/>
      <c r="M348" s="614"/>
      <c r="N348" s="614"/>
      <c r="O348" s="614"/>
      <c r="P348" s="614"/>
    </row>
    <row r="349" spans="1:16" x14ac:dyDescent="0.25">
      <c r="A349" s="611" t="s">
        <v>277</v>
      </c>
      <c r="B349" s="611">
        <v>247</v>
      </c>
      <c r="C349" s="611"/>
      <c r="D349" s="612" t="s">
        <v>1070</v>
      </c>
      <c r="E349" s="611" t="s">
        <v>229</v>
      </c>
      <c r="F349" s="613">
        <v>0.3</v>
      </c>
      <c r="G349" s="614">
        <v>9.65</v>
      </c>
      <c r="H349" s="613"/>
      <c r="I349" s="614"/>
      <c r="J349" s="614">
        <f>ROUND(F349*G349,2)</f>
        <v>2.9</v>
      </c>
      <c r="K349" s="614">
        <f t="shared" si="93"/>
        <v>2.9</v>
      </c>
      <c r="L349" s="614"/>
      <c r="M349" s="614"/>
      <c r="N349" s="614"/>
      <c r="O349" s="614"/>
      <c r="P349" s="614"/>
    </row>
    <row r="350" spans="1:16" x14ac:dyDescent="0.25">
      <c r="A350" s="619"/>
      <c r="B350" s="619"/>
      <c r="C350" s="619" t="s">
        <v>1313</v>
      </c>
      <c r="D350" s="620" t="s">
        <v>1314</v>
      </c>
      <c r="E350" s="619" t="s">
        <v>248</v>
      </c>
      <c r="F350" s="621"/>
      <c r="G350" s="622"/>
      <c r="H350" s="621">
        <v>277</v>
      </c>
      <c r="I350" s="622">
        <f>SUM(I351:I362)</f>
        <v>10.960000000000003</v>
      </c>
      <c r="J350" s="622">
        <f>SUM(J351:J362)</f>
        <v>13.33</v>
      </c>
      <c r="K350" s="622">
        <f>I350+J350</f>
        <v>24.290000000000003</v>
      </c>
      <c r="L350" s="622">
        <f>H350*I350</f>
        <v>3035.9200000000005</v>
      </c>
      <c r="M350" s="622">
        <f>H350*J350</f>
        <v>3692.41</v>
      </c>
      <c r="N350" s="622">
        <f>L350+M350</f>
        <v>6728.33</v>
      </c>
      <c r="O350" s="622">
        <f>N350*$P$4</f>
        <v>1652.477848</v>
      </c>
      <c r="P350" s="622">
        <f>N350+O350</f>
        <v>8380.8078480000004</v>
      </c>
    </row>
    <row r="351" spans="1:16" ht="36" x14ac:dyDescent="0.25">
      <c r="A351" s="611" t="s">
        <v>1108</v>
      </c>
      <c r="B351" s="611" t="s">
        <v>1290</v>
      </c>
      <c r="C351" s="611"/>
      <c r="D351" s="612" t="s">
        <v>1315</v>
      </c>
      <c r="E351" s="611" t="s">
        <v>248</v>
      </c>
      <c r="F351" s="613">
        <v>1</v>
      </c>
      <c r="G351" s="614">
        <v>6.8</v>
      </c>
      <c r="H351" s="613"/>
      <c r="I351" s="614">
        <f t="shared" ref="I351:I360" si="94">ROUND(F351*G351,2)</f>
        <v>6.8</v>
      </c>
      <c r="J351" s="614"/>
      <c r="K351" s="614">
        <f t="shared" si="90"/>
        <v>6.8</v>
      </c>
      <c r="L351" s="614"/>
      <c r="M351" s="614"/>
      <c r="N351" s="614"/>
      <c r="O351" s="614"/>
      <c r="P351" s="614"/>
    </row>
    <row r="352" spans="1:16" x14ac:dyDescent="0.25">
      <c r="A352" s="611" t="s">
        <v>1108</v>
      </c>
      <c r="B352" s="611" t="s">
        <v>1290</v>
      </c>
      <c r="C352" s="611"/>
      <c r="D352" s="612" t="s">
        <v>1316</v>
      </c>
      <c r="E352" s="611" t="s">
        <v>251</v>
      </c>
      <c r="F352" s="613">
        <v>0.17</v>
      </c>
      <c r="G352" s="614">
        <v>0.9</v>
      </c>
      <c r="H352" s="613"/>
      <c r="I352" s="614">
        <f t="shared" si="94"/>
        <v>0.15</v>
      </c>
      <c r="J352" s="614"/>
      <c r="K352" s="614">
        <f t="shared" si="90"/>
        <v>0.15</v>
      </c>
      <c r="L352" s="614"/>
      <c r="M352" s="614"/>
      <c r="N352" s="614"/>
      <c r="O352" s="614"/>
      <c r="P352" s="614"/>
    </row>
    <row r="353" spans="1:16" x14ac:dyDescent="0.25">
      <c r="A353" s="611" t="s">
        <v>1108</v>
      </c>
      <c r="B353" s="611" t="s">
        <v>1290</v>
      </c>
      <c r="C353" s="611"/>
      <c r="D353" s="612" t="s">
        <v>1317</v>
      </c>
      <c r="E353" s="611" t="s">
        <v>251</v>
      </c>
      <c r="F353" s="613">
        <v>0.5</v>
      </c>
      <c r="G353" s="614">
        <v>1.04</v>
      </c>
      <c r="H353" s="613"/>
      <c r="I353" s="614">
        <f t="shared" si="94"/>
        <v>0.52</v>
      </c>
      <c r="J353" s="614"/>
      <c r="K353" s="614">
        <f t="shared" si="90"/>
        <v>0.52</v>
      </c>
      <c r="L353" s="614"/>
      <c r="M353" s="614"/>
      <c r="N353" s="614"/>
      <c r="O353" s="614"/>
      <c r="P353" s="614"/>
    </row>
    <row r="354" spans="1:16" x14ac:dyDescent="0.25">
      <c r="A354" s="611" t="s">
        <v>1108</v>
      </c>
      <c r="B354" s="611" t="s">
        <v>1290</v>
      </c>
      <c r="C354" s="611"/>
      <c r="D354" s="612" t="s">
        <v>1294</v>
      </c>
      <c r="E354" s="611" t="s">
        <v>251</v>
      </c>
      <c r="F354" s="613">
        <v>0.5</v>
      </c>
      <c r="G354" s="614">
        <v>0.86</v>
      </c>
      <c r="H354" s="613"/>
      <c r="I354" s="614">
        <f t="shared" si="94"/>
        <v>0.43</v>
      </c>
      <c r="J354" s="614"/>
      <c r="K354" s="614">
        <f t="shared" si="90"/>
        <v>0.43</v>
      </c>
      <c r="L354" s="614"/>
      <c r="M354" s="614"/>
      <c r="N354" s="614"/>
      <c r="O354" s="614"/>
      <c r="P354" s="614"/>
    </row>
    <row r="355" spans="1:16" x14ac:dyDescent="0.25">
      <c r="A355" s="611" t="s">
        <v>1108</v>
      </c>
      <c r="B355" s="611" t="s">
        <v>1290</v>
      </c>
      <c r="C355" s="611"/>
      <c r="D355" s="612" t="s">
        <v>1296</v>
      </c>
      <c r="E355" s="611" t="s">
        <v>248</v>
      </c>
      <c r="F355" s="613">
        <v>0.15</v>
      </c>
      <c r="G355" s="614">
        <v>1.4</v>
      </c>
      <c r="H355" s="613"/>
      <c r="I355" s="614">
        <f t="shared" si="94"/>
        <v>0.21</v>
      </c>
      <c r="J355" s="614"/>
      <c r="K355" s="614">
        <f t="shared" si="90"/>
        <v>0.21</v>
      </c>
      <c r="L355" s="614"/>
      <c r="M355" s="614"/>
      <c r="N355" s="614"/>
      <c r="O355" s="614"/>
      <c r="P355" s="614"/>
    </row>
    <row r="356" spans="1:16" x14ac:dyDescent="0.25">
      <c r="A356" s="611" t="s">
        <v>1108</v>
      </c>
      <c r="B356" s="611" t="s">
        <v>1290</v>
      </c>
      <c r="C356" s="611"/>
      <c r="D356" s="612" t="s">
        <v>1297</v>
      </c>
      <c r="E356" s="611" t="s">
        <v>251</v>
      </c>
      <c r="F356" s="613">
        <v>1</v>
      </c>
      <c r="G356" s="614">
        <v>2.12</v>
      </c>
      <c r="H356" s="613"/>
      <c r="I356" s="614">
        <f t="shared" si="94"/>
        <v>2.12</v>
      </c>
      <c r="J356" s="614"/>
      <c r="K356" s="614">
        <f t="shared" si="90"/>
        <v>2.12</v>
      </c>
      <c r="L356" s="614"/>
      <c r="M356" s="614"/>
      <c r="N356" s="614"/>
      <c r="O356" s="614"/>
      <c r="P356" s="614"/>
    </row>
    <row r="357" spans="1:16" x14ac:dyDescent="0.25">
      <c r="A357" s="611" t="s">
        <v>277</v>
      </c>
      <c r="B357" s="611">
        <v>4350</v>
      </c>
      <c r="C357" s="611"/>
      <c r="D357" s="612" t="s">
        <v>1298</v>
      </c>
      <c r="E357" s="611" t="s">
        <v>251</v>
      </c>
      <c r="F357" s="613">
        <v>1</v>
      </c>
      <c r="G357" s="614">
        <v>0.48</v>
      </c>
      <c r="H357" s="613"/>
      <c r="I357" s="614">
        <f t="shared" si="94"/>
        <v>0.48</v>
      </c>
      <c r="J357" s="614"/>
      <c r="K357" s="614">
        <f t="shared" si="90"/>
        <v>0.48</v>
      </c>
      <c r="L357" s="614"/>
      <c r="M357" s="614"/>
      <c r="N357" s="614"/>
      <c r="O357" s="614"/>
      <c r="P357" s="614"/>
    </row>
    <row r="358" spans="1:16" x14ac:dyDescent="0.25">
      <c r="A358" s="611" t="s">
        <v>1108</v>
      </c>
      <c r="B358" s="611" t="s">
        <v>1290</v>
      </c>
      <c r="C358" s="611"/>
      <c r="D358" s="612" t="s">
        <v>1299</v>
      </c>
      <c r="E358" s="611" t="s">
        <v>251</v>
      </c>
      <c r="F358" s="613">
        <v>1.67</v>
      </c>
      <c r="G358" s="614">
        <v>0.08</v>
      </c>
      <c r="H358" s="613"/>
      <c r="I358" s="614">
        <f t="shared" si="94"/>
        <v>0.13</v>
      </c>
      <c r="J358" s="614"/>
      <c r="K358" s="614">
        <f t="shared" si="90"/>
        <v>0.13</v>
      </c>
      <c r="L358" s="614"/>
      <c r="M358" s="614"/>
      <c r="N358" s="614"/>
      <c r="O358" s="614"/>
      <c r="P358" s="614"/>
    </row>
    <row r="359" spans="1:16" x14ac:dyDescent="0.25">
      <c r="A359" s="611" t="s">
        <v>1108</v>
      </c>
      <c r="B359" s="611" t="s">
        <v>1290</v>
      </c>
      <c r="C359" s="611"/>
      <c r="D359" s="612" t="s">
        <v>1300</v>
      </c>
      <c r="E359" s="611" t="s">
        <v>251</v>
      </c>
      <c r="F359" s="613">
        <v>1.67</v>
      </c>
      <c r="G359" s="614">
        <v>0.04</v>
      </c>
      <c r="H359" s="613"/>
      <c r="I359" s="614">
        <f t="shared" si="94"/>
        <v>7.0000000000000007E-2</v>
      </c>
      <c r="J359" s="614"/>
      <c r="K359" s="614">
        <f t="shared" si="90"/>
        <v>7.0000000000000007E-2</v>
      </c>
      <c r="L359" s="614"/>
      <c r="M359" s="614"/>
      <c r="N359" s="614"/>
      <c r="O359" s="614"/>
      <c r="P359" s="614"/>
    </row>
    <row r="360" spans="1:16" x14ac:dyDescent="0.25">
      <c r="A360" s="611" t="s">
        <v>1108</v>
      </c>
      <c r="B360" s="611" t="s">
        <v>1290</v>
      </c>
      <c r="C360" s="611"/>
      <c r="D360" s="612" t="s">
        <v>1301</v>
      </c>
      <c r="E360" s="611" t="s">
        <v>251</v>
      </c>
      <c r="F360" s="613">
        <v>1.67</v>
      </c>
      <c r="G360" s="614">
        <v>0.03</v>
      </c>
      <c r="H360" s="613"/>
      <c r="I360" s="614">
        <f t="shared" si="94"/>
        <v>0.05</v>
      </c>
      <c r="J360" s="614"/>
      <c r="K360" s="614">
        <f t="shared" si="90"/>
        <v>0.05</v>
      </c>
      <c r="L360" s="614"/>
      <c r="M360" s="614"/>
      <c r="N360" s="614"/>
      <c r="O360" s="614"/>
      <c r="P360" s="614"/>
    </row>
    <row r="361" spans="1:16" x14ac:dyDescent="0.25">
      <c r="A361" s="611" t="s">
        <v>277</v>
      </c>
      <c r="B361" s="611">
        <v>2436</v>
      </c>
      <c r="C361" s="611"/>
      <c r="D361" s="612" t="s">
        <v>1069</v>
      </c>
      <c r="E361" s="611" t="s">
        <v>229</v>
      </c>
      <c r="F361" s="613">
        <v>0.6</v>
      </c>
      <c r="G361" s="614">
        <v>12.57</v>
      </c>
      <c r="H361" s="613"/>
      <c r="I361" s="614"/>
      <c r="J361" s="614">
        <f>ROUND(F361*G361,2)</f>
        <v>7.54</v>
      </c>
      <c r="K361" s="614">
        <f t="shared" si="90"/>
        <v>7.54</v>
      </c>
      <c r="L361" s="614"/>
      <c r="M361" s="614"/>
      <c r="N361" s="614"/>
      <c r="O361" s="614"/>
      <c r="P361" s="614"/>
    </row>
    <row r="362" spans="1:16" x14ac:dyDescent="0.25">
      <c r="A362" s="611" t="s">
        <v>277</v>
      </c>
      <c r="B362" s="611">
        <v>247</v>
      </c>
      <c r="C362" s="611"/>
      <c r="D362" s="612" t="s">
        <v>1070</v>
      </c>
      <c r="E362" s="611" t="s">
        <v>229</v>
      </c>
      <c r="F362" s="613">
        <v>0.6</v>
      </c>
      <c r="G362" s="614">
        <v>9.65</v>
      </c>
      <c r="H362" s="613"/>
      <c r="I362" s="614"/>
      <c r="J362" s="614">
        <f>ROUND(F362*G362,2)</f>
        <v>5.79</v>
      </c>
      <c r="K362" s="614">
        <f t="shared" si="90"/>
        <v>5.79</v>
      </c>
      <c r="L362" s="614"/>
      <c r="M362" s="614"/>
      <c r="N362" s="614"/>
      <c r="O362" s="614"/>
      <c r="P362" s="614"/>
    </row>
    <row r="363" spans="1:16" x14ac:dyDescent="0.25">
      <c r="A363" s="619"/>
      <c r="B363" s="619"/>
      <c r="C363" s="619" t="s">
        <v>1318</v>
      </c>
      <c r="D363" s="620" t="s">
        <v>1319</v>
      </c>
      <c r="E363" s="619" t="s">
        <v>251</v>
      </c>
      <c r="F363" s="621"/>
      <c r="G363" s="622"/>
      <c r="H363" s="621">
        <v>6</v>
      </c>
      <c r="I363" s="622">
        <f>SUM(I364:I371)</f>
        <v>24.61</v>
      </c>
      <c r="J363" s="622">
        <f>SUM(J364:J371)</f>
        <v>10</v>
      </c>
      <c r="K363" s="622">
        <f>I363+J363</f>
        <v>34.61</v>
      </c>
      <c r="L363" s="622">
        <f>H363*I363</f>
        <v>147.66</v>
      </c>
      <c r="M363" s="622">
        <f>H363*J363</f>
        <v>60</v>
      </c>
      <c r="N363" s="622">
        <f>L363+M363</f>
        <v>207.66</v>
      </c>
      <c r="O363" s="622">
        <f>N363*$P$4</f>
        <v>51.001296000000004</v>
      </c>
      <c r="P363" s="622">
        <f>N363+O363</f>
        <v>258.66129599999999</v>
      </c>
    </row>
    <row r="364" spans="1:16" ht="24" x14ac:dyDescent="0.25">
      <c r="A364" s="611" t="s">
        <v>1108</v>
      </c>
      <c r="B364" s="611" t="s">
        <v>1290</v>
      </c>
      <c r="C364" s="611"/>
      <c r="D364" s="612" t="s">
        <v>1320</v>
      </c>
      <c r="E364" s="611" t="s">
        <v>251</v>
      </c>
      <c r="F364" s="613">
        <v>1</v>
      </c>
      <c r="G364" s="614">
        <v>15.51</v>
      </c>
      <c r="H364" s="613"/>
      <c r="I364" s="614">
        <f t="shared" ref="I364:I369" si="95">ROUND(F364*G364,2)</f>
        <v>15.51</v>
      </c>
      <c r="J364" s="614"/>
      <c r="K364" s="614">
        <f t="shared" ref="K364:K371" si="96">I364+J364</f>
        <v>15.51</v>
      </c>
      <c r="L364" s="614"/>
      <c r="M364" s="614"/>
      <c r="N364" s="614"/>
      <c r="O364" s="614"/>
      <c r="P364" s="614"/>
    </row>
    <row r="365" spans="1:16" x14ac:dyDescent="0.25">
      <c r="A365" s="611" t="s">
        <v>1108</v>
      </c>
      <c r="B365" s="611" t="s">
        <v>1290</v>
      </c>
      <c r="C365" s="611"/>
      <c r="D365" s="612" t="s">
        <v>1308</v>
      </c>
      <c r="E365" s="611" t="s">
        <v>251</v>
      </c>
      <c r="F365" s="613">
        <v>1</v>
      </c>
      <c r="G365" s="614">
        <v>4.53</v>
      </c>
      <c r="H365" s="613"/>
      <c r="I365" s="614">
        <f t="shared" si="95"/>
        <v>4.53</v>
      </c>
      <c r="J365" s="614"/>
      <c r="K365" s="614">
        <f t="shared" si="96"/>
        <v>4.53</v>
      </c>
      <c r="L365" s="614"/>
      <c r="M365" s="614"/>
      <c r="N365" s="614"/>
      <c r="O365" s="614"/>
      <c r="P365" s="614"/>
    </row>
    <row r="366" spans="1:16" x14ac:dyDescent="0.25">
      <c r="A366" s="611" t="s">
        <v>1108</v>
      </c>
      <c r="B366" s="611" t="s">
        <v>1290</v>
      </c>
      <c r="C366" s="611"/>
      <c r="D366" s="612" t="s">
        <v>1292</v>
      </c>
      <c r="E366" s="611" t="s">
        <v>251</v>
      </c>
      <c r="F366" s="613">
        <v>1</v>
      </c>
      <c r="G366" s="614">
        <v>3.37</v>
      </c>
      <c r="H366" s="613"/>
      <c r="I366" s="614">
        <f t="shared" si="95"/>
        <v>3.37</v>
      </c>
      <c r="J366" s="614"/>
      <c r="K366" s="614">
        <f t="shared" si="96"/>
        <v>3.37</v>
      </c>
      <c r="L366" s="614"/>
      <c r="M366" s="614"/>
      <c r="N366" s="614"/>
      <c r="O366" s="614"/>
      <c r="P366" s="614"/>
    </row>
    <row r="367" spans="1:16" x14ac:dyDescent="0.25">
      <c r="A367" s="611" t="s">
        <v>1108</v>
      </c>
      <c r="B367" s="611" t="s">
        <v>1290</v>
      </c>
      <c r="C367" s="611"/>
      <c r="D367" s="612" t="s">
        <v>1299</v>
      </c>
      <c r="E367" s="611" t="s">
        <v>251</v>
      </c>
      <c r="F367" s="613">
        <v>8</v>
      </c>
      <c r="G367" s="614">
        <v>0.08</v>
      </c>
      <c r="H367" s="613"/>
      <c r="I367" s="614">
        <f t="shared" si="95"/>
        <v>0.64</v>
      </c>
      <c r="J367" s="614"/>
      <c r="K367" s="614">
        <f t="shared" si="96"/>
        <v>0.64</v>
      </c>
      <c r="L367" s="614"/>
      <c r="M367" s="614"/>
      <c r="N367" s="614"/>
      <c r="O367" s="614"/>
      <c r="P367" s="614"/>
    </row>
    <row r="368" spans="1:16" x14ac:dyDescent="0.25">
      <c r="A368" s="611" t="s">
        <v>1108</v>
      </c>
      <c r="B368" s="611" t="s">
        <v>1290</v>
      </c>
      <c r="C368" s="611"/>
      <c r="D368" s="612" t="s">
        <v>1300</v>
      </c>
      <c r="E368" s="611" t="s">
        <v>251</v>
      </c>
      <c r="F368" s="613">
        <v>8</v>
      </c>
      <c r="G368" s="614">
        <v>0.04</v>
      </c>
      <c r="H368" s="613"/>
      <c r="I368" s="614">
        <f t="shared" si="95"/>
        <v>0.32</v>
      </c>
      <c r="J368" s="614"/>
      <c r="K368" s="614">
        <f t="shared" si="96"/>
        <v>0.32</v>
      </c>
      <c r="L368" s="614"/>
      <c r="M368" s="614"/>
      <c r="N368" s="614"/>
      <c r="O368" s="614"/>
      <c r="P368" s="614"/>
    </row>
    <row r="369" spans="1:16" x14ac:dyDescent="0.25">
      <c r="A369" s="611" t="s">
        <v>1108</v>
      </c>
      <c r="B369" s="611" t="s">
        <v>1290</v>
      </c>
      <c r="C369" s="611"/>
      <c r="D369" s="612" t="s">
        <v>1301</v>
      </c>
      <c r="E369" s="611" t="s">
        <v>251</v>
      </c>
      <c r="F369" s="613">
        <v>8</v>
      </c>
      <c r="G369" s="614">
        <v>0.03</v>
      </c>
      <c r="H369" s="613"/>
      <c r="I369" s="614">
        <f t="shared" si="95"/>
        <v>0.24</v>
      </c>
      <c r="J369" s="614"/>
      <c r="K369" s="614">
        <f t="shared" si="96"/>
        <v>0.24</v>
      </c>
      <c r="L369" s="614"/>
      <c r="M369" s="614"/>
      <c r="N369" s="614"/>
      <c r="O369" s="614"/>
      <c r="P369" s="614"/>
    </row>
    <row r="370" spans="1:16" x14ac:dyDescent="0.25">
      <c r="A370" s="611" t="s">
        <v>277</v>
      </c>
      <c r="B370" s="611">
        <v>2436</v>
      </c>
      <c r="C370" s="611"/>
      <c r="D370" s="612" t="s">
        <v>1069</v>
      </c>
      <c r="E370" s="611" t="s">
        <v>229</v>
      </c>
      <c r="F370" s="613">
        <v>0.45</v>
      </c>
      <c r="G370" s="614">
        <v>12.57</v>
      </c>
      <c r="H370" s="613"/>
      <c r="I370" s="614"/>
      <c r="J370" s="614">
        <f>ROUND(F370*G370,2)</f>
        <v>5.66</v>
      </c>
      <c r="K370" s="614">
        <f t="shared" si="96"/>
        <v>5.66</v>
      </c>
      <c r="L370" s="614"/>
      <c r="M370" s="614"/>
      <c r="N370" s="614"/>
      <c r="O370" s="614"/>
      <c r="P370" s="614"/>
    </row>
    <row r="371" spans="1:16" x14ac:dyDescent="0.25">
      <c r="A371" s="611" t="s">
        <v>277</v>
      </c>
      <c r="B371" s="611">
        <v>247</v>
      </c>
      <c r="C371" s="611"/>
      <c r="D371" s="612" t="s">
        <v>1070</v>
      </c>
      <c r="E371" s="611" t="s">
        <v>229</v>
      </c>
      <c r="F371" s="613">
        <v>0.45</v>
      </c>
      <c r="G371" s="614">
        <v>9.65</v>
      </c>
      <c r="H371" s="613"/>
      <c r="I371" s="614"/>
      <c r="J371" s="614">
        <f>ROUND(F371*G371,2)</f>
        <v>4.34</v>
      </c>
      <c r="K371" s="614">
        <f t="shared" si="96"/>
        <v>4.34</v>
      </c>
      <c r="L371" s="614"/>
      <c r="M371" s="614"/>
      <c r="N371" s="614"/>
      <c r="O371" s="614"/>
      <c r="P371" s="614"/>
    </row>
    <row r="372" spans="1:16" x14ac:dyDescent="0.25">
      <c r="A372" s="619"/>
      <c r="B372" s="619"/>
      <c r="C372" s="619" t="s">
        <v>1321</v>
      </c>
      <c r="D372" s="620" t="s">
        <v>1322</v>
      </c>
      <c r="E372" s="619" t="s">
        <v>251</v>
      </c>
      <c r="F372" s="621"/>
      <c r="G372" s="622"/>
      <c r="H372" s="621">
        <v>1</v>
      </c>
      <c r="I372" s="622">
        <f>SUM(I373:I379)</f>
        <v>48.709999999999994</v>
      </c>
      <c r="J372" s="622">
        <f>SUM(J373:J379)</f>
        <v>13.33</v>
      </c>
      <c r="K372" s="622">
        <f>I372+J372</f>
        <v>62.039999999999992</v>
      </c>
      <c r="L372" s="622">
        <f>H372*I372</f>
        <v>48.709999999999994</v>
      </c>
      <c r="M372" s="622">
        <f>H372*J372</f>
        <v>13.33</v>
      </c>
      <c r="N372" s="622">
        <f>L372+M372</f>
        <v>62.039999999999992</v>
      </c>
      <c r="O372" s="622">
        <f>N372*$P$4</f>
        <v>15.237023999999998</v>
      </c>
      <c r="P372" s="622">
        <f>N372+O372</f>
        <v>77.277023999999983</v>
      </c>
    </row>
    <row r="373" spans="1:16" ht="24" x14ac:dyDescent="0.25">
      <c r="A373" s="611" t="s">
        <v>1108</v>
      </c>
      <c r="B373" s="611" t="s">
        <v>1290</v>
      </c>
      <c r="C373" s="611"/>
      <c r="D373" s="612" t="s">
        <v>1323</v>
      </c>
      <c r="E373" s="611" t="s">
        <v>251</v>
      </c>
      <c r="F373" s="613">
        <v>1</v>
      </c>
      <c r="G373" s="614">
        <v>33.32</v>
      </c>
      <c r="H373" s="613"/>
      <c r="I373" s="614">
        <f t="shared" ref="I373:I377" si="97">ROUND(F373*G373,2)</f>
        <v>33.32</v>
      </c>
      <c r="J373" s="614"/>
      <c r="K373" s="614">
        <f>I373+J373</f>
        <v>33.32</v>
      </c>
      <c r="L373" s="614"/>
      <c r="M373" s="614"/>
      <c r="N373" s="614"/>
      <c r="O373" s="614"/>
      <c r="P373" s="614"/>
    </row>
    <row r="374" spans="1:16" x14ac:dyDescent="0.25">
      <c r="A374" s="611" t="s">
        <v>1108</v>
      </c>
      <c r="B374" s="611" t="s">
        <v>1290</v>
      </c>
      <c r="C374" s="611"/>
      <c r="D374" s="612" t="s">
        <v>1308</v>
      </c>
      <c r="E374" s="611" t="s">
        <v>251</v>
      </c>
      <c r="F374" s="613">
        <v>3</v>
      </c>
      <c r="G374" s="614">
        <v>4.53</v>
      </c>
      <c r="H374" s="613"/>
      <c r="I374" s="614">
        <f t="shared" si="97"/>
        <v>13.59</v>
      </c>
      <c r="J374" s="614"/>
      <c r="K374" s="614">
        <f>I374+J374</f>
        <v>13.59</v>
      </c>
      <c r="L374" s="614"/>
      <c r="M374" s="614"/>
      <c r="N374" s="614"/>
      <c r="O374" s="614"/>
      <c r="P374" s="614"/>
    </row>
    <row r="375" spans="1:16" x14ac:dyDescent="0.25">
      <c r="A375" s="611" t="s">
        <v>1108</v>
      </c>
      <c r="B375" s="611" t="s">
        <v>1290</v>
      </c>
      <c r="C375" s="611"/>
      <c r="D375" s="612" t="s">
        <v>1299</v>
      </c>
      <c r="E375" s="611" t="s">
        <v>251</v>
      </c>
      <c r="F375" s="613">
        <v>12</v>
      </c>
      <c r="G375" s="614">
        <v>0.08</v>
      </c>
      <c r="H375" s="613"/>
      <c r="I375" s="614">
        <f t="shared" si="97"/>
        <v>0.96</v>
      </c>
      <c r="J375" s="614"/>
      <c r="K375" s="614">
        <f t="shared" ref="K375:K379" si="98">I375+J375</f>
        <v>0.96</v>
      </c>
      <c r="L375" s="614"/>
      <c r="M375" s="614"/>
      <c r="N375" s="614"/>
      <c r="O375" s="614"/>
      <c r="P375" s="614"/>
    </row>
    <row r="376" spans="1:16" x14ac:dyDescent="0.25">
      <c r="A376" s="611" t="s">
        <v>1108</v>
      </c>
      <c r="B376" s="611" t="s">
        <v>1290</v>
      </c>
      <c r="C376" s="611"/>
      <c r="D376" s="612" t="s">
        <v>1300</v>
      </c>
      <c r="E376" s="611" t="s">
        <v>251</v>
      </c>
      <c r="F376" s="613">
        <v>12</v>
      </c>
      <c r="G376" s="614">
        <v>0.04</v>
      </c>
      <c r="H376" s="613"/>
      <c r="I376" s="614">
        <f t="shared" si="97"/>
        <v>0.48</v>
      </c>
      <c r="J376" s="614"/>
      <c r="K376" s="614">
        <f t="shared" si="98"/>
        <v>0.48</v>
      </c>
      <c r="L376" s="614"/>
      <c r="M376" s="614"/>
      <c r="N376" s="614"/>
      <c r="O376" s="614"/>
      <c r="P376" s="614"/>
    </row>
    <row r="377" spans="1:16" x14ac:dyDescent="0.25">
      <c r="A377" s="611" t="s">
        <v>1108</v>
      </c>
      <c r="B377" s="611" t="s">
        <v>1290</v>
      </c>
      <c r="C377" s="611"/>
      <c r="D377" s="612" t="s">
        <v>1301</v>
      </c>
      <c r="E377" s="611" t="s">
        <v>251</v>
      </c>
      <c r="F377" s="613">
        <v>12</v>
      </c>
      <c r="G377" s="614">
        <v>0.03</v>
      </c>
      <c r="H377" s="613"/>
      <c r="I377" s="614">
        <f t="shared" si="97"/>
        <v>0.36</v>
      </c>
      <c r="J377" s="614"/>
      <c r="K377" s="614">
        <f t="shared" si="98"/>
        <v>0.36</v>
      </c>
      <c r="L377" s="614"/>
      <c r="M377" s="614"/>
      <c r="N377" s="614"/>
      <c r="O377" s="614"/>
      <c r="P377" s="614"/>
    </row>
    <row r="378" spans="1:16" x14ac:dyDescent="0.25">
      <c r="A378" s="611" t="s">
        <v>277</v>
      </c>
      <c r="B378" s="611">
        <v>2436</v>
      </c>
      <c r="C378" s="611"/>
      <c r="D378" s="612" t="s">
        <v>1069</v>
      </c>
      <c r="E378" s="611" t="s">
        <v>229</v>
      </c>
      <c r="F378" s="613">
        <v>0.6</v>
      </c>
      <c r="G378" s="614">
        <v>12.57</v>
      </c>
      <c r="H378" s="613"/>
      <c r="I378" s="614"/>
      <c r="J378" s="614">
        <f>ROUND(F378*G378,2)</f>
        <v>7.54</v>
      </c>
      <c r="K378" s="614">
        <f t="shared" si="98"/>
        <v>7.54</v>
      </c>
      <c r="L378" s="614"/>
      <c r="M378" s="614"/>
      <c r="N378" s="614"/>
      <c r="O378" s="614"/>
      <c r="P378" s="614"/>
    </row>
    <row r="379" spans="1:16" x14ac:dyDescent="0.25">
      <c r="A379" s="611" t="s">
        <v>277</v>
      </c>
      <c r="B379" s="611">
        <v>247</v>
      </c>
      <c r="C379" s="611"/>
      <c r="D379" s="612" t="s">
        <v>1070</v>
      </c>
      <c r="E379" s="611" t="s">
        <v>229</v>
      </c>
      <c r="F379" s="613">
        <v>0.6</v>
      </c>
      <c r="G379" s="614">
        <v>9.65</v>
      </c>
      <c r="H379" s="613"/>
      <c r="I379" s="614"/>
      <c r="J379" s="614">
        <f>ROUND(F379*G379,2)</f>
        <v>5.79</v>
      </c>
      <c r="K379" s="614">
        <f t="shared" si="98"/>
        <v>5.79</v>
      </c>
      <c r="L379" s="614"/>
      <c r="M379" s="614"/>
      <c r="N379" s="614"/>
      <c r="O379" s="614"/>
      <c r="P379" s="614"/>
    </row>
    <row r="380" spans="1:16" x14ac:dyDescent="0.25">
      <c r="A380" s="619"/>
      <c r="B380" s="619"/>
      <c r="C380" s="619" t="s">
        <v>1324</v>
      </c>
      <c r="D380" s="620" t="s">
        <v>1325</v>
      </c>
      <c r="E380" s="619" t="s">
        <v>251</v>
      </c>
      <c r="F380" s="621"/>
      <c r="G380" s="622"/>
      <c r="H380" s="621">
        <f>25+4+1</f>
        <v>30</v>
      </c>
      <c r="I380" s="622">
        <f>SUM(I381:I387)</f>
        <v>40.78</v>
      </c>
      <c r="J380" s="622">
        <f>SUM(J381:J387)</f>
        <v>11.120000000000001</v>
      </c>
      <c r="K380" s="622">
        <f>I380+J380</f>
        <v>51.900000000000006</v>
      </c>
      <c r="L380" s="622">
        <f>H380*I380</f>
        <v>1223.4000000000001</v>
      </c>
      <c r="M380" s="622">
        <f>H380*J380</f>
        <v>333.6</v>
      </c>
      <c r="N380" s="622">
        <f>L380+M380</f>
        <v>1557</v>
      </c>
      <c r="O380" s="622">
        <f>N380*$P$4</f>
        <v>382.39920000000001</v>
      </c>
      <c r="P380" s="622">
        <f>N380+O380</f>
        <v>1939.3992000000001</v>
      </c>
    </row>
    <row r="381" spans="1:16" ht="24" x14ac:dyDescent="0.25">
      <c r="A381" s="611" t="s">
        <v>1108</v>
      </c>
      <c r="B381" s="611" t="s">
        <v>1290</v>
      </c>
      <c r="C381" s="611"/>
      <c r="D381" s="612" t="s">
        <v>1326</v>
      </c>
      <c r="E381" s="611" t="s">
        <v>251</v>
      </c>
      <c r="F381" s="613">
        <v>1</v>
      </c>
      <c r="G381" s="614">
        <v>28.87</v>
      </c>
      <c r="H381" s="613"/>
      <c r="I381" s="614">
        <f t="shared" ref="I381:I385" si="99">ROUND(F381*G381,2)</f>
        <v>28.87</v>
      </c>
      <c r="J381" s="614"/>
      <c r="K381" s="614">
        <f>I381+J381</f>
        <v>28.87</v>
      </c>
      <c r="L381" s="614"/>
      <c r="M381" s="614"/>
      <c r="N381" s="614"/>
      <c r="O381" s="614"/>
      <c r="P381" s="614"/>
    </row>
    <row r="382" spans="1:16" x14ac:dyDescent="0.25">
      <c r="A382" s="611" t="s">
        <v>1108</v>
      </c>
      <c r="B382" s="611" t="s">
        <v>1290</v>
      </c>
      <c r="C382" s="611"/>
      <c r="D382" s="612" t="s">
        <v>1292</v>
      </c>
      <c r="E382" s="611" t="s">
        <v>251</v>
      </c>
      <c r="F382" s="613">
        <v>3</v>
      </c>
      <c r="G382" s="614">
        <v>3.37</v>
      </c>
      <c r="H382" s="613"/>
      <c r="I382" s="614">
        <f t="shared" si="99"/>
        <v>10.11</v>
      </c>
      <c r="J382" s="614"/>
      <c r="K382" s="614">
        <f>I382+J382</f>
        <v>10.11</v>
      </c>
      <c r="L382" s="614"/>
      <c r="M382" s="614"/>
      <c r="N382" s="614"/>
      <c r="O382" s="614"/>
      <c r="P382" s="614"/>
    </row>
    <row r="383" spans="1:16" x14ac:dyDescent="0.25">
      <c r="A383" s="611" t="s">
        <v>1108</v>
      </c>
      <c r="B383" s="611" t="s">
        <v>1290</v>
      </c>
      <c r="C383" s="611"/>
      <c r="D383" s="612" t="s">
        <v>1299</v>
      </c>
      <c r="E383" s="611" t="s">
        <v>251</v>
      </c>
      <c r="F383" s="613">
        <v>12</v>
      </c>
      <c r="G383" s="614">
        <v>0.08</v>
      </c>
      <c r="H383" s="613"/>
      <c r="I383" s="614">
        <f t="shared" si="99"/>
        <v>0.96</v>
      </c>
      <c r="J383" s="614"/>
      <c r="K383" s="614">
        <f t="shared" ref="K383:K387" si="100">I383+J383</f>
        <v>0.96</v>
      </c>
      <c r="L383" s="614"/>
      <c r="M383" s="614"/>
      <c r="N383" s="614"/>
      <c r="O383" s="614"/>
      <c r="P383" s="614"/>
    </row>
    <row r="384" spans="1:16" x14ac:dyDescent="0.25">
      <c r="A384" s="611" t="s">
        <v>1108</v>
      </c>
      <c r="B384" s="611" t="s">
        <v>1290</v>
      </c>
      <c r="C384" s="611"/>
      <c r="D384" s="612" t="s">
        <v>1300</v>
      </c>
      <c r="E384" s="611" t="s">
        <v>251</v>
      </c>
      <c r="F384" s="613">
        <v>12</v>
      </c>
      <c r="G384" s="614">
        <v>0.04</v>
      </c>
      <c r="H384" s="613"/>
      <c r="I384" s="614">
        <f t="shared" si="99"/>
        <v>0.48</v>
      </c>
      <c r="J384" s="614"/>
      <c r="K384" s="614">
        <f t="shared" si="100"/>
        <v>0.48</v>
      </c>
      <c r="L384" s="614"/>
      <c r="M384" s="614"/>
      <c r="N384" s="614"/>
      <c r="O384" s="614"/>
      <c r="P384" s="614"/>
    </row>
    <row r="385" spans="1:16" x14ac:dyDescent="0.25">
      <c r="A385" s="611" t="s">
        <v>1108</v>
      </c>
      <c r="B385" s="611" t="s">
        <v>1290</v>
      </c>
      <c r="C385" s="611"/>
      <c r="D385" s="612" t="s">
        <v>1301</v>
      </c>
      <c r="E385" s="611" t="s">
        <v>251</v>
      </c>
      <c r="F385" s="613">
        <v>12</v>
      </c>
      <c r="G385" s="614">
        <v>0.03</v>
      </c>
      <c r="H385" s="613"/>
      <c r="I385" s="614">
        <f t="shared" si="99"/>
        <v>0.36</v>
      </c>
      <c r="J385" s="614"/>
      <c r="K385" s="614">
        <f t="shared" si="100"/>
        <v>0.36</v>
      </c>
      <c r="L385" s="614"/>
      <c r="M385" s="614"/>
      <c r="N385" s="614"/>
      <c r="O385" s="614"/>
      <c r="P385" s="614"/>
    </row>
    <row r="386" spans="1:16" x14ac:dyDescent="0.25">
      <c r="A386" s="611" t="s">
        <v>277</v>
      </c>
      <c r="B386" s="611">
        <v>2436</v>
      </c>
      <c r="C386" s="611"/>
      <c r="D386" s="612" t="s">
        <v>1069</v>
      </c>
      <c r="E386" s="611" t="s">
        <v>229</v>
      </c>
      <c r="F386" s="613">
        <v>0.5</v>
      </c>
      <c r="G386" s="614">
        <v>12.57</v>
      </c>
      <c r="H386" s="613"/>
      <c r="I386" s="614"/>
      <c r="J386" s="614">
        <f>ROUND(F386*G386,2)</f>
        <v>6.29</v>
      </c>
      <c r="K386" s="614">
        <f t="shared" si="100"/>
        <v>6.29</v>
      </c>
      <c r="L386" s="614"/>
      <c r="M386" s="614"/>
      <c r="N386" s="614"/>
      <c r="O386" s="614"/>
      <c r="P386" s="614"/>
    </row>
    <row r="387" spans="1:16" x14ac:dyDescent="0.25">
      <c r="A387" s="611" t="s">
        <v>277</v>
      </c>
      <c r="B387" s="611">
        <v>247</v>
      </c>
      <c r="C387" s="611"/>
      <c r="D387" s="612" t="s">
        <v>1070</v>
      </c>
      <c r="E387" s="611" t="s">
        <v>229</v>
      </c>
      <c r="F387" s="613">
        <v>0.5</v>
      </c>
      <c r="G387" s="614">
        <v>9.65</v>
      </c>
      <c r="H387" s="613"/>
      <c r="I387" s="614"/>
      <c r="J387" s="614">
        <f>ROUND(F387*G387,2)</f>
        <v>4.83</v>
      </c>
      <c r="K387" s="614">
        <f t="shared" si="100"/>
        <v>4.83</v>
      </c>
      <c r="L387" s="614"/>
      <c r="M387" s="614"/>
      <c r="N387" s="614"/>
      <c r="O387" s="614"/>
      <c r="P387" s="614"/>
    </row>
    <row r="388" spans="1:16" x14ac:dyDescent="0.25">
      <c r="A388" s="619"/>
      <c r="B388" s="619"/>
      <c r="C388" s="619" t="s">
        <v>1327</v>
      </c>
      <c r="D388" s="620" t="s">
        <v>1328</v>
      </c>
      <c r="E388" s="619" t="s">
        <v>251</v>
      </c>
      <c r="F388" s="621"/>
      <c r="G388" s="622"/>
      <c r="H388" s="621">
        <f>7-1</f>
        <v>6</v>
      </c>
      <c r="I388" s="622">
        <f>SUM(I389:I395)</f>
        <v>29.099999999999998</v>
      </c>
      <c r="J388" s="622">
        <f>SUM(J389:J395)</f>
        <v>10</v>
      </c>
      <c r="K388" s="622">
        <f>I388+J388</f>
        <v>39.099999999999994</v>
      </c>
      <c r="L388" s="622">
        <f>H388*I388</f>
        <v>174.6</v>
      </c>
      <c r="M388" s="622">
        <f>H388*J388</f>
        <v>60</v>
      </c>
      <c r="N388" s="622">
        <f>L388+M388</f>
        <v>234.6</v>
      </c>
      <c r="O388" s="622">
        <f>N388*$P$4</f>
        <v>57.617760000000004</v>
      </c>
      <c r="P388" s="622">
        <f>N388+O388</f>
        <v>292.21776</v>
      </c>
    </row>
    <row r="389" spans="1:16" ht="24" x14ac:dyDescent="0.25">
      <c r="A389" s="611" t="s">
        <v>1108</v>
      </c>
      <c r="B389" s="611" t="s">
        <v>1290</v>
      </c>
      <c r="C389" s="611"/>
      <c r="D389" s="612" t="s">
        <v>1329</v>
      </c>
      <c r="E389" s="611" t="s">
        <v>251</v>
      </c>
      <c r="F389" s="613">
        <v>1</v>
      </c>
      <c r="G389" s="614">
        <v>21.16</v>
      </c>
      <c r="H389" s="613"/>
      <c r="I389" s="614">
        <f t="shared" ref="I389:I393" si="101">ROUND(F389*G389,2)</f>
        <v>21.16</v>
      </c>
      <c r="J389" s="614"/>
      <c r="K389" s="614">
        <f t="shared" ref="K389:K395" si="102">I389+J389</f>
        <v>21.16</v>
      </c>
      <c r="L389" s="614"/>
      <c r="M389" s="614"/>
      <c r="N389" s="614"/>
      <c r="O389" s="614"/>
      <c r="P389" s="614"/>
    </row>
    <row r="390" spans="1:16" x14ac:dyDescent="0.25">
      <c r="A390" s="611" t="s">
        <v>1108</v>
      </c>
      <c r="B390" s="611" t="s">
        <v>1290</v>
      </c>
      <c r="C390" s="611"/>
      <c r="D390" s="612" t="s">
        <v>1292</v>
      </c>
      <c r="E390" s="611" t="s">
        <v>251</v>
      </c>
      <c r="F390" s="613">
        <v>2</v>
      </c>
      <c r="G390" s="614">
        <v>3.37</v>
      </c>
      <c r="H390" s="613"/>
      <c r="I390" s="614">
        <f t="shared" si="101"/>
        <v>6.74</v>
      </c>
      <c r="J390" s="614"/>
      <c r="K390" s="614">
        <f t="shared" si="102"/>
        <v>6.74</v>
      </c>
      <c r="L390" s="614"/>
      <c r="M390" s="614"/>
      <c r="N390" s="614"/>
      <c r="O390" s="614"/>
      <c r="P390" s="614"/>
    </row>
    <row r="391" spans="1:16" x14ac:dyDescent="0.25">
      <c r="A391" s="611" t="s">
        <v>1108</v>
      </c>
      <c r="B391" s="611" t="s">
        <v>1290</v>
      </c>
      <c r="C391" s="611"/>
      <c r="D391" s="612" t="s">
        <v>1299</v>
      </c>
      <c r="E391" s="611" t="s">
        <v>251</v>
      </c>
      <c r="F391" s="613">
        <v>8</v>
      </c>
      <c r="G391" s="614">
        <v>0.08</v>
      </c>
      <c r="H391" s="613"/>
      <c r="I391" s="614">
        <f t="shared" si="101"/>
        <v>0.64</v>
      </c>
      <c r="J391" s="614"/>
      <c r="K391" s="614">
        <f t="shared" si="102"/>
        <v>0.64</v>
      </c>
      <c r="L391" s="614"/>
      <c r="M391" s="614"/>
      <c r="N391" s="614"/>
      <c r="O391" s="614"/>
      <c r="P391" s="614"/>
    </row>
    <row r="392" spans="1:16" x14ac:dyDescent="0.25">
      <c r="A392" s="611" t="s">
        <v>1108</v>
      </c>
      <c r="B392" s="611" t="s">
        <v>1290</v>
      </c>
      <c r="C392" s="611"/>
      <c r="D392" s="612" t="s">
        <v>1300</v>
      </c>
      <c r="E392" s="611" t="s">
        <v>251</v>
      </c>
      <c r="F392" s="613">
        <v>8</v>
      </c>
      <c r="G392" s="614">
        <v>0.04</v>
      </c>
      <c r="H392" s="613"/>
      <c r="I392" s="614">
        <f t="shared" si="101"/>
        <v>0.32</v>
      </c>
      <c r="J392" s="614"/>
      <c r="K392" s="614">
        <f t="shared" si="102"/>
        <v>0.32</v>
      </c>
      <c r="L392" s="614"/>
      <c r="M392" s="614"/>
      <c r="N392" s="614"/>
      <c r="O392" s="614"/>
      <c r="P392" s="614"/>
    </row>
    <row r="393" spans="1:16" x14ac:dyDescent="0.25">
      <c r="A393" s="611" t="s">
        <v>1108</v>
      </c>
      <c r="B393" s="611" t="s">
        <v>1290</v>
      </c>
      <c r="C393" s="611"/>
      <c r="D393" s="612" t="s">
        <v>1301</v>
      </c>
      <c r="E393" s="611" t="s">
        <v>251</v>
      </c>
      <c r="F393" s="613">
        <v>8</v>
      </c>
      <c r="G393" s="614">
        <v>0.03</v>
      </c>
      <c r="H393" s="613"/>
      <c r="I393" s="614">
        <f t="shared" si="101"/>
        <v>0.24</v>
      </c>
      <c r="J393" s="614"/>
      <c r="K393" s="614">
        <f t="shared" si="102"/>
        <v>0.24</v>
      </c>
      <c r="L393" s="614"/>
      <c r="M393" s="614"/>
      <c r="N393" s="614"/>
      <c r="O393" s="614"/>
      <c r="P393" s="614"/>
    </row>
    <row r="394" spans="1:16" x14ac:dyDescent="0.25">
      <c r="A394" s="611" t="s">
        <v>277</v>
      </c>
      <c r="B394" s="611">
        <v>2436</v>
      </c>
      <c r="C394" s="611"/>
      <c r="D394" s="612" t="s">
        <v>1069</v>
      </c>
      <c r="E394" s="611" t="s">
        <v>229</v>
      </c>
      <c r="F394" s="613">
        <v>0.45</v>
      </c>
      <c r="G394" s="614">
        <v>12.57</v>
      </c>
      <c r="H394" s="613"/>
      <c r="I394" s="614"/>
      <c r="J394" s="614">
        <f>ROUND(F394*G394,2)</f>
        <v>5.66</v>
      </c>
      <c r="K394" s="614">
        <f t="shared" si="102"/>
        <v>5.66</v>
      </c>
      <c r="L394" s="614"/>
      <c r="M394" s="614"/>
      <c r="N394" s="614"/>
      <c r="O394" s="614"/>
      <c r="P394" s="614"/>
    </row>
    <row r="395" spans="1:16" x14ac:dyDescent="0.25">
      <c r="A395" s="611" t="s">
        <v>277</v>
      </c>
      <c r="B395" s="611">
        <v>247</v>
      </c>
      <c r="C395" s="611"/>
      <c r="D395" s="612" t="s">
        <v>1070</v>
      </c>
      <c r="E395" s="611" t="s">
        <v>229</v>
      </c>
      <c r="F395" s="613">
        <v>0.45</v>
      </c>
      <c r="G395" s="614">
        <v>9.65</v>
      </c>
      <c r="H395" s="613"/>
      <c r="I395" s="614"/>
      <c r="J395" s="614">
        <f>ROUND(F395*G395,2)</f>
        <v>4.34</v>
      </c>
      <c r="K395" s="614">
        <f t="shared" si="102"/>
        <v>4.34</v>
      </c>
      <c r="L395" s="614"/>
      <c r="M395" s="614"/>
      <c r="N395" s="614"/>
      <c r="O395" s="614"/>
      <c r="P395" s="614"/>
    </row>
    <row r="396" spans="1:16" x14ac:dyDescent="0.25">
      <c r="A396" s="619"/>
      <c r="B396" s="619"/>
      <c r="C396" s="619" t="s">
        <v>1330</v>
      </c>
      <c r="D396" s="620" t="s">
        <v>1331</v>
      </c>
      <c r="E396" s="619" t="s">
        <v>251</v>
      </c>
      <c r="F396" s="621"/>
      <c r="G396" s="622"/>
      <c r="H396" s="621">
        <v>3</v>
      </c>
      <c r="I396" s="622">
        <f>SUM(I397:I403)</f>
        <v>35.880000000000003</v>
      </c>
      <c r="J396" s="622">
        <f>SUM(J397:J403)</f>
        <v>11.120000000000001</v>
      </c>
      <c r="K396" s="622">
        <f>I396+J396</f>
        <v>47</v>
      </c>
      <c r="L396" s="622">
        <f>H396*I396</f>
        <v>107.64000000000001</v>
      </c>
      <c r="M396" s="622">
        <f>H396*J396</f>
        <v>33.36</v>
      </c>
      <c r="N396" s="622">
        <f>L396+M396</f>
        <v>141</v>
      </c>
      <c r="O396" s="622">
        <f>N396*$P$4</f>
        <v>34.629600000000003</v>
      </c>
      <c r="P396" s="622">
        <f>N396+O396</f>
        <v>175.62960000000001</v>
      </c>
    </row>
    <row r="397" spans="1:16" ht="24" x14ac:dyDescent="0.25">
      <c r="A397" s="611" t="s">
        <v>1108</v>
      </c>
      <c r="B397" s="611" t="s">
        <v>1290</v>
      </c>
      <c r="C397" s="611"/>
      <c r="D397" s="612" t="s">
        <v>1332</v>
      </c>
      <c r="E397" s="611" t="s">
        <v>251</v>
      </c>
      <c r="F397" s="613">
        <v>1</v>
      </c>
      <c r="G397" s="614">
        <v>25.62</v>
      </c>
      <c r="H397" s="613"/>
      <c r="I397" s="614">
        <f t="shared" ref="I397:I401" si="103">ROUND(F397*G397,2)</f>
        <v>25.62</v>
      </c>
      <c r="J397" s="614"/>
      <c r="K397" s="614">
        <f t="shared" ref="K397:K403" si="104">I397+J397</f>
        <v>25.62</v>
      </c>
      <c r="L397" s="614"/>
      <c r="M397" s="614"/>
      <c r="N397" s="614"/>
      <c r="O397" s="614"/>
      <c r="P397" s="614"/>
    </row>
    <row r="398" spans="1:16" x14ac:dyDescent="0.25">
      <c r="A398" s="611" t="s">
        <v>1108</v>
      </c>
      <c r="B398" s="611" t="s">
        <v>1290</v>
      </c>
      <c r="C398" s="611"/>
      <c r="D398" s="612" t="s">
        <v>1308</v>
      </c>
      <c r="E398" s="611" t="s">
        <v>251</v>
      </c>
      <c r="F398" s="613">
        <v>2</v>
      </c>
      <c r="G398" s="614">
        <v>4.53</v>
      </c>
      <c r="H398" s="613"/>
      <c r="I398" s="614">
        <f t="shared" si="103"/>
        <v>9.06</v>
      </c>
      <c r="J398" s="614"/>
      <c r="K398" s="614">
        <f t="shared" si="104"/>
        <v>9.06</v>
      </c>
      <c r="L398" s="614"/>
      <c r="M398" s="614"/>
      <c r="N398" s="614"/>
      <c r="O398" s="614"/>
      <c r="P398" s="614"/>
    </row>
    <row r="399" spans="1:16" x14ac:dyDescent="0.25">
      <c r="A399" s="611" t="s">
        <v>1108</v>
      </c>
      <c r="B399" s="611" t="s">
        <v>1290</v>
      </c>
      <c r="C399" s="611"/>
      <c r="D399" s="612" t="s">
        <v>1299</v>
      </c>
      <c r="E399" s="611" t="s">
        <v>251</v>
      </c>
      <c r="F399" s="613">
        <v>8</v>
      </c>
      <c r="G399" s="614">
        <v>0.08</v>
      </c>
      <c r="H399" s="613"/>
      <c r="I399" s="614">
        <f t="shared" si="103"/>
        <v>0.64</v>
      </c>
      <c r="J399" s="614"/>
      <c r="K399" s="614">
        <f t="shared" si="104"/>
        <v>0.64</v>
      </c>
      <c r="L399" s="614"/>
      <c r="M399" s="614"/>
      <c r="N399" s="614"/>
      <c r="O399" s="614"/>
      <c r="P399" s="614"/>
    </row>
    <row r="400" spans="1:16" x14ac:dyDescent="0.25">
      <c r="A400" s="611" t="s">
        <v>1108</v>
      </c>
      <c r="B400" s="611" t="s">
        <v>1290</v>
      </c>
      <c r="C400" s="611"/>
      <c r="D400" s="612" t="s">
        <v>1300</v>
      </c>
      <c r="E400" s="611" t="s">
        <v>251</v>
      </c>
      <c r="F400" s="613">
        <v>8</v>
      </c>
      <c r="G400" s="614">
        <v>0.04</v>
      </c>
      <c r="H400" s="613"/>
      <c r="I400" s="614">
        <f t="shared" si="103"/>
        <v>0.32</v>
      </c>
      <c r="J400" s="614"/>
      <c r="K400" s="614">
        <f t="shared" si="104"/>
        <v>0.32</v>
      </c>
      <c r="L400" s="614"/>
      <c r="M400" s="614"/>
      <c r="N400" s="614"/>
      <c r="O400" s="614"/>
      <c r="P400" s="614"/>
    </row>
    <row r="401" spans="1:16" x14ac:dyDescent="0.25">
      <c r="A401" s="611" t="s">
        <v>1108</v>
      </c>
      <c r="B401" s="611" t="s">
        <v>1290</v>
      </c>
      <c r="C401" s="611"/>
      <c r="D401" s="612" t="s">
        <v>1301</v>
      </c>
      <c r="E401" s="611" t="s">
        <v>251</v>
      </c>
      <c r="F401" s="613">
        <v>8</v>
      </c>
      <c r="G401" s="614">
        <v>0.03</v>
      </c>
      <c r="H401" s="613"/>
      <c r="I401" s="614">
        <f t="shared" si="103"/>
        <v>0.24</v>
      </c>
      <c r="J401" s="614"/>
      <c r="K401" s="614">
        <f t="shared" si="104"/>
        <v>0.24</v>
      </c>
      <c r="L401" s="614"/>
      <c r="M401" s="614"/>
      <c r="N401" s="614"/>
      <c r="O401" s="614"/>
      <c r="P401" s="614"/>
    </row>
    <row r="402" spans="1:16" x14ac:dyDescent="0.25">
      <c r="A402" s="611" t="s">
        <v>277</v>
      </c>
      <c r="B402" s="611">
        <v>2436</v>
      </c>
      <c r="C402" s="611"/>
      <c r="D402" s="612" t="s">
        <v>1069</v>
      </c>
      <c r="E402" s="611" t="s">
        <v>229</v>
      </c>
      <c r="F402" s="613">
        <v>0.5</v>
      </c>
      <c r="G402" s="614">
        <v>12.57</v>
      </c>
      <c r="H402" s="613"/>
      <c r="I402" s="614"/>
      <c r="J402" s="614">
        <f>ROUND(F402*G402,2)</f>
        <v>6.29</v>
      </c>
      <c r="K402" s="614">
        <f t="shared" si="104"/>
        <v>6.29</v>
      </c>
      <c r="L402" s="614"/>
      <c r="M402" s="614"/>
      <c r="N402" s="614"/>
      <c r="O402" s="614"/>
      <c r="P402" s="614"/>
    </row>
    <row r="403" spans="1:16" x14ac:dyDescent="0.25">
      <c r="A403" s="611" t="s">
        <v>277</v>
      </c>
      <c r="B403" s="611">
        <v>247</v>
      </c>
      <c r="C403" s="611"/>
      <c r="D403" s="612" t="s">
        <v>1070</v>
      </c>
      <c r="E403" s="611" t="s">
        <v>229</v>
      </c>
      <c r="F403" s="613">
        <v>0.5</v>
      </c>
      <c r="G403" s="614">
        <v>9.65</v>
      </c>
      <c r="H403" s="613"/>
      <c r="I403" s="614"/>
      <c r="J403" s="614">
        <f>ROUND(F403*G403,2)</f>
        <v>4.83</v>
      </c>
      <c r="K403" s="614">
        <f t="shared" si="104"/>
        <v>4.83</v>
      </c>
      <c r="L403" s="614"/>
      <c r="M403" s="614"/>
      <c r="N403" s="614"/>
      <c r="O403" s="614"/>
      <c r="P403" s="614"/>
    </row>
    <row r="404" spans="1:16" x14ac:dyDescent="0.25">
      <c r="A404" s="619"/>
      <c r="B404" s="619"/>
      <c r="C404" s="619" t="s">
        <v>1333</v>
      </c>
      <c r="D404" s="620" t="s">
        <v>1334</v>
      </c>
      <c r="E404" s="619" t="s">
        <v>251</v>
      </c>
      <c r="F404" s="621"/>
      <c r="G404" s="622"/>
      <c r="H404" s="621">
        <v>11</v>
      </c>
      <c r="I404" s="622">
        <f>SUM(I405:I411)</f>
        <v>59.73</v>
      </c>
      <c r="J404" s="622">
        <f>SUM(J405:J411)</f>
        <v>13.33</v>
      </c>
      <c r="K404" s="622">
        <f>I404+J404</f>
        <v>73.06</v>
      </c>
      <c r="L404" s="622">
        <f>H404*I404</f>
        <v>657.03</v>
      </c>
      <c r="M404" s="622">
        <f>H404*J404</f>
        <v>146.63</v>
      </c>
      <c r="N404" s="622">
        <f>L404+M404</f>
        <v>803.66</v>
      </c>
      <c r="O404" s="622">
        <f>N404*$P$4</f>
        <v>197.378896</v>
      </c>
      <c r="P404" s="622">
        <f>N404+O404</f>
        <v>1001.038896</v>
      </c>
    </row>
    <row r="405" spans="1:16" ht="24" x14ac:dyDescent="0.25">
      <c r="A405" s="611" t="s">
        <v>1108</v>
      </c>
      <c r="B405" s="611" t="s">
        <v>1290</v>
      </c>
      <c r="C405" s="611"/>
      <c r="D405" s="612" t="s">
        <v>1335</v>
      </c>
      <c r="E405" s="611" t="s">
        <v>251</v>
      </c>
      <c r="F405" s="613">
        <v>1</v>
      </c>
      <c r="G405" s="614">
        <v>43.85</v>
      </c>
      <c r="H405" s="613"/>
      <c r="I405" s="614">
        <f t="shared" ref="I405:I409" si="105">ROUND(F405*G405,2)</f>
        <v>43.85</v>
      </c>
      <c r="J405" s="614"/>
      <c r="K405" s="614">
        <f t="shared" ref="K405:K411" si="106">I405+J405</f>
        <v>43.85</v>
      </c>
      <c r="L405" s="614"/>
      <c r="M405" s="614"/>
      <c r="N405" s="614"/>
      <c r="O405" s="614"/>
      <c r="P405" s="614"/>
    </row>
    <row r="406" spans="1:16" x14ac:dyDescent="0.25">
      <c r="A406" s="611" t="s">
        <v>1108</v>
      </c>
      <c r="B406" s="611" t="s">
        <v>1290</v>
      </c>
      <c r="C406" s="611"/>
      <c r="D406" s="612" t="s">
        <v>1292</v>
      </c>
      <c r="E406" s="611" t="s">
        <v>251</v>
      </c>
      <c r="F406" s="613">
        <v>4</v>
      </c>
      <c r="G406" s="614">
        <v>3.37</v>
      </c>
      <c r="H406" s="613"/>
      <c r="I406" s="614">
        <f t="shared" si="105"/>
        <v>13.48</v>
      </c>
      <c r="J406" s="614"/>
      <c r="K406" s="614">
        <f t="shared" si="106"/>
        <v>13.48</v>
      </c>
      <c r="L406" s="614"/>
      <c r="M406" s="614"/>
      <c r="N406" s="614"/>
      <c r="O406" s="614"/>
      <c r="P406" s="614"/>
    </row>
    <row r="407" spans="1:16" x14ac:dyDescent="0.25">
      <c r="A407" s="611" t="s">
        <v>1108</v>
      </c>
      <c r="B407" s="611" t="s">
        <v>1290</v>
      </c>
      <c r="C407" s="611"/>
      <c r="D407" s="612" t="s">
        <v>1299</v>
      </c>
      <c r="E407" s="611" t="s">
        <v>251</v>
      </c>
      <c r="F407" s="613">
        <v>16</v>
      </c>
      <c r="G407" s="614">
        <v>0.08</v>
      </c>
      <c r="H407" s="613"/>
      <c r="I407" s="614">
        <f t="shared" si="105"/>
        <v>1.28</v>
      </c>
      <c r="J407" s="614"/>
      <c r="K407" s="614">
        <f t="shared" si="106"/>
        <v>1.28</v>
      </c>
      <c r="L407" s="614"/>
      <c r="M407" s="614"/>
      <c r="N407" s="614"/>
      <c r="O407" s="614"/>
      <c r="P407" s="614"/>
    </row>
    <row r="408" spans="1:16" x14ac:dyDescent="0.25">
      <c r="A408" s="611" t="s">
        <v>1108</v>
      </c>
      <c r="B408" s="611" t="s">
        <v>1290</v>
      </c>
      <c r="C408" s="611"/>
      <c r="D408" s="612" t="s">
        <v>1300</v>
      </c>
      <c r="E408" s="611" t="s">
        <v>251</v>
      </c>
      <c r="F408" s="613">
        <v>16</v>
      </c>
      <c r="G408" s="614">
        <v>0.04</v>
      </c>
      <c r="H408" s="613"/>
      <c r="I408" s="614">
        <f t="shared" si="105"/>
        <v>0.64</v>
      </c>
      <c r="J408" s="614"/>
      <c r="K408" s="614">
        <f t="shared" si="106"/>
        <v>0.64</v>
      </c>
      <c r="L408" s="614"/>
      <c r="M408" s="614"/>
      <c r="N408" s="614"/>
      <c r="O408" s="614"/>
      <c r="P408" s="614"/>
    </row>
    <row r="409" spans="1:16" x14ac:dyDescent="0.25">
      <c r="A409" s="611" t="s">
        <v>1108</v>
      </c>
      <c r="B409" s="611" t="s">
        <v>1290</v>
      </c>
      <c r="C409" s="611"/>
      <c r="D409" s="612" t="s">
        <v>1301</v>
      </c>
      <c r="E409" s="611" t="s">
        <v>251</v>
      </c>
      <c r="F409" s="613">
        <v>16</v>
      </c>
      <c r="G409" s="614">
        <v>0.03</v>
      </c>
      <c r="H409" s="613"/>
      <c r="I409" s="614">
        <f t="shared" si="105"/>
        <v>0.48</v>
      </c>
      <c r="J409" s="614"/>
      <c r="K409" s="614">
        <f t="shared" si="106"/>
        <v>0.48</v>
      </c>
      <c r="L409" s="614"/>
      <c r="M409" s="614"/>
      <c r="N409" s="614"/>
      <c r="O409" s="614"/>
      <c r="P409" s="614"/>
    </row>
    <row r="410" spans="1:16" x14ac:dyDescent="0.25">
      <c r="A410" s="611" t="s">
        <v>277</v>
      </c>
      <c r="B410" s="611">
        <v>2436</v>
      </c>
      <c r="C410" s="611"/>
      <c r="D410" s="612" t="s">
        <v>1069</v>
      </c>
      <c r="E410" s="611" t="s">
        <v>229</v>
      </c>
      <c r="F410" s="613">
        <v>0.6</v>
      </c>
      <c r="G410" s="614">
        <v>12.57</v>
      </c>
      <c r="H410" s="613"/>
      <c r="I410" s="614"/>
      <c r="J410" s="614">
        <f>ROUND(F410*G410,2)</f>
        <v>7.54</v>
      </c>
      <c r="K410" s="614">
        <f t="shared" si="106"/>
        <v>7.54</v>
      </c>
      <c r="L410" s="614"/>
      <c r="M410" s="614"/>
      <c r="N410" s="614"/>
      <c r="O410" s="614"/>
      <c r="P410" s="614"/>
    </row>
    <row r="411" spans="1:16" x14ac:dyDescent="0.25">
      <c r="A411" s="611" t="s">
        <v>277</v>
      </c>
      <c r="B411" s="611">
        <v>247</v>
      </c>
      <c r="C411" s="611"/>
      <c r="D411" s="612" t="s">
        <v>1070</v>
      </c>
      <c r="E411" s="611" t="s">
        <v>229</v>
      </c>
      <c r="F411" s="613">
        <v>0.6</v>
      </c>
      <c r="G411" s="614">
        <v>9.65</v>
      </c>
      <c r="H411" s="613"/>
      <c r="I411" s="614"/>
      <c r="J411" s="614">
        <f>ROUND(F411*G411,2)</f>
        <v>5.79</v>
      </c>
      <c r="K411" s="614">
        <f t="shared" si="106"/>
        <v>5.79</v>
      </c>
      <c r="L411" s="614"/>
      <c r="M411" s="614"/>
      <c r="N411" s="614"/>
      <c r="O411" s="614"/>
      <c r="P411" s="614"/>
    </row>
    <row r="412" spans="1:16" x14ac:dyDescent="0.25">
      <c r="A412" s="619"/>
      <c r="B412" s="619"/>
      <c r="C412" s="619" t="s">
        <v>1336</v>
      </c>
      <c r="D412" s="620" t="s">
        <v>1337</v>
      </c>
      <c r="E412" s="619" t="s">
        <v>251</v>
      </c>
      <c r="F412" s="621"/>
      <c r="G412" s="622"/>
      <c r="H412" s="621">
        <v>2</v>
      </c>
      <c r="I412" s="622">
        <f>SUM(I413:I419)</f>
        <v>68.67</v>
      </c>
      <c r="J412" s="622">
        <f>SUM(J413:J419)</f>
        <v>14.44</v>
      </c>
      <c r="K412" s="622">
        <f>I412+J412</f>
        <v>83.11</v>
      </c>
      <c r="L412" s="622">
        <f>H412*I412</f>
        <v>137.34</v>
      </c>
      <c r="M412" s="622">
        <f>H412*J412</f>
        <v>28.88</v>
      </c>
      <c r="N412" s="622">
        <f>L412+M412</f>
        <v>166.22</v>
      </c>
      <c r="O412" s="622">
        <f>N412*$P$4</f>
        <v>40.823632000000003</v>
      </c>
      <c r="P412" s="622">
        <f>N412+O412</f>
        <v>207.043632</v>
      </c>
    </row>
    <row r="413" spans="1:16" ht="24" x14ac:dyDescent="0.25">
      <c r="A413" s="611" t="s">
        <v>1108</v>
      </c>
      <c r="B413" s="611" t="s">
        <v>1290</v>
      </c>
      <c r="C413" s="611"/>
      <c r="D413" s="612" t="s">
        <v>1338</v>
      </c>
      <c r="E413" s="611" t="s">
        <v>251</v>
      </c>
      <c r="F413" s="613">
        <v>1</v>
      </c>
      <c r="G413" s="614">
        <v>48.15</v>
      </c>
      <c r="H413" s="613"/>
      <c r="I413" s="614">
        <f t="shared" ref="I413:I417" si="107">ROUND(F413*G413,2)</f>
        <v>48.15</v>
      </c>
      <c r="J413" s="614"/>
      <c r="K413" s="614">
        <f t="shared" ref="K413:K419" si="108">I413+J413</f>
        <v>48.15</v>
      </c>
      <c r="L413" s="614"/>
      <c r="M413" s="614"/>
      <c r="N413" s="614"/>
      <c r="O413" s="614"/>
      <c r="P413" s="614"/>
    </row>
    <row r="414" spans="1:16" x14ac:dyDescent="0.25">
      <c r="A414" s="611" t="s">
        <v>1108</v>
      </c>
      <c r="B414" s="611" t="s">
        <v>1290</v>
      </c>
      <c r="C414" s="611"/>
      <c r="D414" s="612" t="s">
        <v>1308</v>
      </c>
      <c r="E414" s="611" t="s">
        <v>251</v>
      </c>
      <c r="F414" s="613">
        <v>4</v>
      </c>
      <c r="G414" s="614">
        <v>4.53</v>
      </c>
      <c r="H414" s="613"/>
      <c r="I414" s="614">
        <f t="shared" si="107"/>
        <v>18.12</v>
      </c>
      <c r="J414" s="614"/>
      <c r="K414" s="614">
        <f t="shared" si="108"/>
        <v>18.12</v>
      </c>
      <c r="L414" s="614"/>
      <c r="M414" s="614"/>
      <c r="N414" s="614"/>
      <c r="O414" s="614"/>
      <c r="P414" s="614"/>
    </row>
    <row r="415" spans="1:16" x14ac:dyDescent="0.25">
      <c r="A415" s="611" t="s">
        <v>1108</v>
      </c>
      <c r="B415" s="611" t="s">
        <v>1290</v>
      </c>
      <c r="C415" s="611"/>
      <c r="D415" s="612" t="s">
        <v>1299</v>
      </c>
      <c r="E415" s="611" t="s">
        <v>251</v>
      </c>
      <c r="F415" s="613">
        <v>16</v>
      </c>
      <c r="G415" s="614">
        <v>0.08</v>
      </c>
      <c r="H415" s="613"/>
      <c r="I415" s="614">
        <f t="shared" si="107"/>
        <v>1.28</v>
      </c>
      <c r="J415" s="614"/>
      <c r="K415" s="614">
        <f t="shared" si="108"/>
        <v>1.28</v>
      </c>
      <c r="L415" s="614"/>
      <c r="M415" s="614"/>
      <c r="N415" s="614"/>
      <c r="O415" s="614"/>
      <c r="P415" s="614"/>
    </row>
    <row r="416" spans="1:16" x14ac:dyDescent="0.25">
      <c r="A416" s="611" t="s">
        <v>1108</v>
      </c>
      <c r="B416" s="611" t="s">
        <v>1290</v>
      </c>
      <c r="C416" s="611"/>
      <c r="D416" s="612" t="s">
        <v>1300</v>
      </c>
      <c r="E416" s="611" t="s">
        <v>251</v>
      </c>
      <c r="F416" s="613">
        <v>16</v>
      </c>
      <c r="G416" s="614">
        <v>0.04</v>
      </c>
      <c r="H416" s="613"/>
      <c r="I416" s="614">
        <f t="shared" si="107"/>
        <v>0.64</v>
      </c>
      <c r="J416" s="614"/>
      <c r="K416" s="614">
        <f t="shared" si="108"/>
        <v>0.64</v>
      </c>
      <c r="L416" s="614"/>
      <c r="M416" s="614"/>
      <c r="N416" s="614"/>
      <c r="O416" s="614"/>
      <c r="P416" s="614"/>
    </row>
    <row r="417" spans="1:16" x14ac:dyDescent="0.25">
      <c r="A417" s="611" t="s">
        <v>1108</v>
      </c>
      <c r="B417" s="611" t="s">
        <v>1290</v>
      </c>
      <c r="C417" s="611"/>
      <c r="D417" s="612" t="s">
        <v>1301</v>
      </c>
      <c r="E417" s="611" t="s">
        <v>251</v>
      </c>
      <c r="F417" s="613">
        <v>16</v>
      </c>
      <c r="G417" s="614">
        <v>0.03</v>
      </c>
      <c r="H417" s="613"/>
      <c r="I417" s="614">
        <f t="shared" si="107"/>
        <v>0.48</v>
      </c>
      <c r="J417" s="614"/>
      <c r="K417" s="614">
        <f t="shared" si="108"/>
        <v>0.48</v>
      </c>
      <c r="L417" s="614"/>
      <c r="M417" s="614"/>
      <c r="N417" s="614"/>
      <c r="O417" s="614"/>
      <c r="P417" s="614"/>
    </row>
    <row r="418" spans="1:16" x14ac:dyDescent="0.25">
      <c r="A418" s="611" t="s">
        <v>277</v>
      </c>
      <c r="B418" s="611">
        <v>2436</v>
      </c>
      <c r="C418" s="611"/>
      <c r="D418" s="612" t="s">
        <v>1069</v>
      </c>
      <c r="E418" s="611" t="s">
        <v>229</v>
      </c>
      <c r="F418" s="613">
        <v>0.65</v>
      </c>
      <c r="G418" s="614">
        <v>12.57</v>
      </c>
      <c r="H418" s="613"/>
      <c r="I418" s="614"/>
      <c r="J418" s="614">
        <f>ROUND(F418*G418,2)</f>
        <v>8.17</v>
      </c>
      <c r="K418" s="614">
        <f t="shared" si="108"/>
        <v>8.17</v>
      </c>
      <c r="L418" s="614"/>
      <c r="M418" s="614"/>
      <c r="N418" s="614"/>
      <c r="O418" s="614"/>
      <c r="P418" s="614"/>
    </row>
    <row r="419" spans="1:16" x14ac:dyDescent="0.25">
      <c r="A419" s="611" t="s">
        <v>277</v>
      </c>
      <c r="B419" s="611">
        <v>247</v>
      </c>
      <c r="C419" s="611"/>
      <c r="D419" s="612" t="s">
        <v>1070</v>
      </c>
      <c r="E419" s="611" t="s">
        <v>229</v>
      </c>
      <c r="F419" s="613">
        <v>0.65</v>
      </c>
      <c r="G419" s="614">
        <v>9.65</v>
      </c>
      <c r="H419" s="613"/>
      <c r="I419" s="614"/>
      <c r="J419" s="614">
        <f>ROUND(F419*G419,2)</f>
        <v>6.27</v>
      </c>
      <c r="K419" s="614">
        <f t="shared" si="108"/>
        <v>6.27</v>
      </c>
      <c r="L419" s="614"/>
      <c r="M419" s="614"/>
      <c r="N419" s="614"/>
      <c r="O419" s="614"/>
      <c r="P419" s="614"/>
    </row>
    <row r="420" spans="1:16" x14ac:dyDescent="0.25">
      <c r="A420" s="619"/>
      <c r="B420" s="619"/>
      <c r="C420" s="619" t="s">
        <v>1339</v>
      </c>
      <c r="D420" s="620" t="s">
        <v>1340</v>
      </c>
      <c r="E420" s="619" t="s">
        <v>251</v>
      </c>
      <c r="F420" s="621"/>
      <c r="G420" s="622"/>
      <c r="H420" s="621">
        <v>20</v>
      </c>
      <c r="I420" s="622">
        <f>SUM(I421:I427)</f>
        <v>5.12</v>
      </c>
      <c r="J420" s="622">
        <f>SUM(J421:J427)</f>
        <v>6.67</v>
      </c>
      <c r="K420" s="622">
        <f>I420+J420</f>
        <v>11.79</v>
      </c>
      <c r="L420" s="622">
        <f>H420*I420</f>
        <v>102.4</v>
      </c>
      <c r="M420" s="622">
        <f>H420*J420</f>
        <v>133.4</v>
      </c>
      <c r="N420" s="622">
        <f>L420+M420</f>
        <v>235.8</v>
      </c>
      <c r="O420" s="622">
        <f>N420*$P$4</f>
        <v>57.912480000000009</v>
      </c>
      <c r="P420" s="622">
        <f>N420+O420</f>
        <v>293.71248000000003</v>
      </c>
    </row>
    <row r="421" spans="1:16" x14ac:dyDescent="0.25">
      <c r="A421" s="611" t="s">
        <v>1108</v>
      </c>
      <c r="B421" s="611" t="s">
        <v>1290</v>
      </c>
      <c r="C421" s="611"/>
      <c r="D421" s="612" t="s">
        <v>1341</v>
      </c>
      <c r="E421" s="611" t="s">
        <v>251</v>
      </c>
      <c r="F421" s="613">
        <v>1</v>
      </c>
      <c r="G421" s="614">
        <v>1.1499999999999999</v>
      </c>
      <c r="H421" s="613"/>
      <c r="I421" s="614">
        <f t="shared" ref="I421:I425" si="109">ROUND(F421*G421,2)</f>
        <v>1.1499999999999999</v>
      </c>
      <c r="J421" s="614"/>
      <c r="K421" s="614">
        <f t="shared" ref="K421:K427" si="110">I421+J421</f>
        <v>1.1499999999999999</v>
      </c>
      <c r="L421" s="614"/>
      <c r="M421" s="614"/>
      <c r="N421" s="614"/>
      <c r="O421" s="614"/>
      <c r="P421" s="614"/>
    </row>
    <row r="422" spans="1:16" x14ac:dyDescent="0.25">
      <c r="A422" s="611" t="s">
        <v>1108</v>
      </c>
      <c r="B422" s="611" t="s">
        <v>1290</v>
      </c>
      <c r="C422" s="611"/>
      <c r="D422" s="612" t="s">
        <v>1292</v>
      </c>
      <c r="E422" s="611" t="s">
        <v>251</v>
      </c>
      <c r="F422" s="613">
        <v>1</v>
      </c>
      <c r="G422" s="614">
        <v>3.37</v>
      </c>
      <c r="H422" s="613"/>
      <c r="I422" s="614">
        <f t="shared" si="109"/>
        <v>3.37</v>
      </c>
      <c r="J422" s="614"/>
      <c r="K422" s="614">
        <f t="shared" si="110"/>
        <v>3.37</v>
      </c>
      <c r="L422" s="614"/>
      <c r="M422" s="614"/>
      <c r="N422" s="614"/>
      <c r="O422" s="614"/>
      <c r="P422" s="614"/>
    </row>
    <row r="423" spans="1:16" x14ac:dyDescent="0.25">
      <c r="A423" s="611" t="s">
        <v>1108</v>
      </c>
      <c r="B423" s="611" t="s">
        <v>1290</v>
      </c>
      <c r="C423" s="611"/>
      <c r="D423" s="612" t="s">
        <v>1299</v>
      </c>
      <c r="E423" s="611" t="s">
        <v>251</v>
      </c>
      <c r="F423" s="613">
        <v>4</v>
      </c>
      <c r="G423" s="614">
        <v>0.08</v>
      </c>
      <c r="H423" s="613"/>
      <c r="I423" s="614">
        <f t="shared" si="109"/>
        <v>0.32</v>
      </c>
      <c r="J423" s="614"/>
      <c r="K423" s="614">
        <f t="shared" si="110"/>
        <v>0.32</v>
      </c>
      <c r="L423" s="614"/>
      <c r="M423" s="614"/>
      <c r="N423" s="614"/>
      <c r="O423" s="614"/>
      <c r="P423" s="614"/>
    </row>
    <row r="424" spans="1:16" x14ac:dyDescent="0.25">
      <c r="A424" s="611" t="s">
        <v>1108</v>
      </c>
      <c r="B424" s="611" t="s">
        <v>1290</v>
      </c>
      <c r="C424" s="611"/>
      <c r="D424" s="612" t="s">
        <v>1300</v>
      </c>
      <c r="E424" s="611" t="s">
        <v>251</v>
      </c>
      <c r="F424" s="613">
        <v>4</v>
      </c>
      <c r="G424" s="614">
        <v>0.04</v>
      </c>
      <c r="H424" s="613"/>
      <c r="I424" s="614">
        <f t="shared" si="109"/>
        <v>0.16</v>
      </c>
      <c r="J424" s="614"/>
      <c r="K424" s="614">
        <f t="shared" si="110"/>
        <v>0.16</v>
      </c>
      <c r="L424" s="614"/>
      <c r="M424" s="614"/>
      <c r="N424" s="614"/>
      <c r="O424" s="614"/>
      <c r="P424" s="614"/>
    </row>
    <row r="425" spans="1:16" x14ac:dyDescent="0.25">
      <c r="A425" s="611" t="s">
        <v>1108</v>
      </c>
      <c r="B425" s="611" t="s">
        <v>1290</v>
      </c>
      <c r="C425" s="611"/>
      <c r="D425" s="612" t="s">
        <v>1301</v>
      </c>
      <c r="E425" s="611" t="s">
        <v>251</v>
      </c>
      <c r="F425" s="613">
        <v>4</v>
      </c>
      <c r="G425" s="614">
        <v>0.03</v>
      </c>
      <c r="H425" s="613"/>
      <c r="I425" s="614">
        <f t="shared" si="109"/>
        <v>0.12</v>
      </c>
      <c r="J425" s="614"/>
      <c r="K425" s="614">
        <f t="shared" si="110"/>
        <v>0.12</v>
      </c>
      <c r="L425" s="614"/>
      <c r="M425" s="614"/>
      <c r="N425" s="614"/>
      <c r="O425" s="614"/>
      <c r="P425" s="614"/>
    </row>
    <row r="426" spans="1:16" x14ac:dyDescent="0.25">
      <c r="A426" s="611" t="s">
        <v>277</v>
      </c>
      <c r="B426" s="611">
        <v>2436</v>
      </c>
      <c r="C426" s="611"/>
      <c r="D426" s="612" t="s">
        <v>1069</v>
      </c>
      <c r="E426" s="611" t="s">
        <v>229</v>
      </c>
      <c r="F426" s="613">
        <v>0.3</v>
      </c>
      <c r="G426" s="614">
        <v>12.57</v>
      </c>
      <c r="H426" s="613"/>
      <c r="I426" s="614"/>
      <c r="J426" s="614">
        <f>ROUND(F426*G426,2)</f>
        <v>3.77</v>
      </c>
      <c r="K426" s="614">
        <f t="shared" si="110"/>
        <v>3.77</v>
      </c>
      <c r="L426" s="614"/>
      <c r="M426" s="614"/>
      <c r="N426" s="614"/>
      <c r="O426" s="614"/>
      <c r="P426" s="614"/>
    </row>
    <row r="427" spans="1:16" x14ac:dyDescent="0.25">
      <c r="A427" s="611" t="s">
        <v>277</v>
      </c>
      <c r="B427" s="611">
        <v>247</v>
      </c>
      <c r="C427" s="611"/>
      <c r="D427" s="612" t="s">
        <v>1070</v>
      </c>
      <c r="E427" s="611" t="s">
        <v>229</v>
      </c>
      <c r="F427" s="613">
        <v>0.3</v>
      </c>
      <c r="G427" s="614">
        <v>9.65</v>
      </c>
      <c r="H427" s="613"/>
      <c r="I427" s="614"/>
      <c r="J427" s="614">
        <f>ROUND(F427*G427,2)</f>
        <v>2.9</v>
      </c>
      <c r="K427" s="614">
        <f t="shared" si="110"/>
        <v>2.9</v>
      </c>
      <c r="L427" s="614"/>
      <c r="M427" s="614"/>
      <c r="N427" s="614"/>
      <c r="O427" s="614"/>
      <c r="P427" s="614"/>
    </row>
    <row r="428" spans="1:16" x14ac:dyDescent="0.25">
      <c r="A428" s="619"/>
      <c r="B428" s="619"/>
      <c r="C428" s="619" t="s">
        <v>1342</v>
      </c>
      <c r="D428" s="620" t="s">
        <v>1343</v>
      </c>
      <c r="E428" s="619" t="s">
        <v>251</v>
      </c>
      <c r="F428" s="621"/>
      <c r="G428" s="622"/>
      <c r="H428" s="621">
        <v>2</v>
      </c>
      <c r="I428" s="622">
        <f>SUM(I429:I435)</f>
        <v>49.489999999999995</v>
      </c>
      <c r="J428" s="622">
        <f>SUM(J429:J435)</f>
        <v>11.120000000000001</v>
      </c>
      <c r="K428" s="622">
        <f>I428+J428</f>
        <v>60.61</v>
      </c>
      <c r="L428" s="622">
        <f>H428*I428</f>
        <v>98.97999999999999</v>
      </c>
      <c r="M428" s="622">
        <f>H428*J428</f>
        <v>22.240000000000002</v>
      </c>
      <c r="N428" s="622">
        <f>L428+M428</f>
        <v>121.22</v>
      </c>
      <c r="O428" s="622">
        <f>N428*$P$4</f>
        <v>29.771632</v>
      </c>
      <c r="P428" s="622">
        <f>N428+O428</f>
        <v>150.99163200000001</v>
      </c>
    </row>
    <row r="429" spans="1:16" ht="24" x14ac:dyDescent="0.25">
      <c r="A429" s="611" t="s">
        <v>1108</v>
      </c>
      <c r="B429" s="611" t="s">
        <v>1290</v>
      </c>
      <c r="C429" s="611"/>
      <c r="D429" s="612" t="s">
        <v>1344</v>
      </c>
      <c r="E429" s="611" t="s">
        <v>251</v>
      </c>
      <c r="F429" s="613">
        <v>1</v>
      </c>
      <c r="G429" s="614">
        <v>34.1</v>
      </c>
      <c r="H429" s="613"/>
      <c r="I429" s="614">
        <f t="shared" ref="I429:I433" si="111">ROUND(F429*G429,2)</f>
        <v>34.1</v>
      </c>
      <c r="J429" s="614"/>
      <c r="K429" s="614">
        <f>I429+J429</f>
        <v>34.1</v>
      </c>
      <c r="L429" s="614"/>
      <c r="M429" s="614"/>
      <c r="N429" s="614"/>
      <c r="O429" s="614"/>
      <c r="P429" s="614"/>
    </row>
    <row r="430" spans="1:16" x14ac:dyDescent="0.25">
      <c r="A430" s="611" t="s">
        <v>1108</v>
      </c>
      <c r="B430" s="611" t="s">
        <v>1290</v>
      </c>
      <c r="C430" s="611"/>
      <c r="D430" s="612" t="s">
        <v>1308</v>
      </c>
      <c r="E430" s="611" t="s">
        <v>251</v>
      </c>
      <c r="F430" s="613">
        <v>3</v>
      </c>
      <c r="G430" s="614">
        <v>4.53</v>
      </c>
      <c r="H430" s="613"/>
      <c r="I430" s="614">
        <f t="shared" si="111"/>
        <v>13.59</v>
      </c>
      <c r="J430" s="614"/>
      <c r="K430" s="614">
        <f>I430+J430</f>
        <v>13.59</v>
      </c>
      <c r="L430" s="614"/>
      <c r="M430" s="614"/>
      <c r="N430" s="614"/>
      <c r="O430" s="614"/>
      <c r="P430" s="614"/>
    </row>
    <row r="431" spans="1:16" x14ac:dyDescent="0.25">
      <c r="A431" s="611" t="s">
        <v>1108</v>
      </c>
      <c r="B431" s="611" t="s">
        <v>1290</v>
      </c>
      <c r="C431" s="611"/>
      <c r="D431" s="612" t="s">
        <v>1299</v>
      </c>
      <c r="E431" s="611" t="s">
        <v>251</v>
      </c>
      <c r="F431" s="613">
        <v>12</v>
      </c>
      <c r="G431" s="614">
        <v>0.08</v>
      </c>
      <c r="H431" s="613"/>
      <c r="I431" s="614">
        <f t="shared" si="111"/>
        <v>0.96</v>
      </c>
      <c r="J431" s="614"/>
      <c r="K431" s="614">
        <f t="shared" ref="K431:K435" si="112">I431+J431</f>
        <v>0.96</v>
      </c>
      <c r="L431" s="614"/>
      <c r="M431" s="614"/>
      <c r="N431" s="614"/>
      <c r="O431" s="614"/>
      <c r="P431" s="614"/>
    </row>
    <row r="432" spans="1:16" x14ac:dyDescent="0.25">
      <c r="A432" s="611" t="s">
        <v>1108</v>
      </c>
      <c r="B432" s="611" t="s">
        <v>1290</v>
      </c>
      <c r="C432" s="611"/>
      <c r="D432" s="612" t="s">
        <v>1300</v>
      </c>
      <c r="E432" s="611" t="s">
        <v>251</v>
      </c>
      <c r="F432" s="613">
        <v>12</v>
      </c>
      <c r="G432" s="614">
        <v>0.04</v>
      </c>
      <c r="H432" s="613"/>
      <c r="I432" s="614">
        <f t="shared" si="111"/>
        <v>0.48</v>
      </c>
      <c r="J432" s="614"/>
      <c r="K432" s="614">
        <f t="shared" si="112"/>
        <v>0.48</v>
      </c>
      <c r="L432" s="614"/>
      <c r="M432" s="614"/>
      <c r="N432" s="614"/>
      <c r="O432" s="614"/>
      <c r="P432" s="614"/>
    </row>
    <row r="433" spans="1:16" x14ac:dyDescent="0.25">
      <c r="A433" s="611" t="s">
        <v>1108</v>
      </c>
      <c r="B433" s="611" t="s">
        <v>1290</v>
      </c>
      <c r="C433" s="611"/>
      <c r="D433" s="612" t="s">
        <v>1301</v>
      </c>
      <c r="E433" s="611" t="s">
        <v>251</v>
      </c>
      <c r="F433" s="613">
        <v>12</v>
      </c>
      <c r="G433" s="614">
        <v>0.03</v>
      </c>
      <c r="H433" s="613"/>
      <c r="I433" s="614">
        <f t="shared" si="111"/>
        <v>0.36</v>
      </c>
      <c r="J433" s="614"/>
      <c r="K433" s="614">
        <f t="shared" si="112"/>
        <v>0.36</v>
      </c>
      <c r="L433" s="614"/>
      <c r="M433" s="614"/>
      <c r="N433" s="614"/>
      <c r="O433" s="614"/>
      <c r="P433" s="614"/>
    </row>
    <row r="434" spans="1:16" x14ac:dyDescent="0.25">
      <c r="A434" s="611" t="s">
        <v>277</v>
      </c>
      <c r="B434" s="611">
        <v>2436</v>
      </c>
      <c r="C434" s="611"/>
      <c r="D434" s="612" t="s">
        <v>1069</v>
      </c>
      <c r="E434" s="611" t="s">
        <v>229</v>
      </c>
      <c r="F434" s="613">
        <v>0.5</v>
      </c>
      <c r="G434" s="614">
        <v>12.57</v>
      </c>
      <c r="H434" s="613"/>
      <c r="I434" s="614"/>
      <c r="J434" s="614">
        <f>ROUND(F434*G434,2)</f>
        <v>6.29</v>
      </c>
      <c r="K434" s="614">
        <f t="shared" si="112"/>
        <v>6.29</v>
      </c>
      <c r="L434" s="614"/>
      <c r="M434" s="614"/>
      <c r="N434" s="614"/>
      <c r="O434" s="614"/>
      <c r="P434" s="614"/>
    </row>
    <row r="435" spans="1:16" x14ac:dyDescent="0.25">
      <c r="A435" s="611" t="s">
        <v>277</v>
      </c>
      <c r="B435" s="611">
        <v>247</v>
      </c>
      <c r="C435" s="611"/>
      <c r="D435" s="612" t="s">
        <v>1070</v>
      </c>
      <c r="E435" s="611" t="s">
        <v>229</v>
      </c>
      <c r="F435" s="613">
        <v>0.5</v>
      </c>
      <c r="G435" s="614">
        <v>9.65</v>
      </c>
      <c r="H435" s="613"/>
      <c r="I435" s="614"/>
      <c r="J435" s="614">
        <f>ROUND(F435*G435,2)</f>
        <v>4.83</v>
      </c>
      <c r="K435" s="614">
        <f t="shared" si="112"/>
        <v>4.83</v>
      </c>
      <c r="L435" s="614"/>
      <c r="M435" s="614"/>
      <c r="N435" s="614"/>
      <c r="O435" s="614"/>
      <c r="P435" s="614"/>
    </row>
    <row r="436" spans="1:16" x14ac:dyDescent="0.25">
      <c r="A436" s="619"/>
      <c r="B436" s="619"/>
      <c r="C436" s="619" t="s">
        <v>1345</v>
      </c>
      <c r="D436" s="620" t="s">
        <v>1346</v>
      </c>
      <c r="E436" s="619" t="s">
        <v>251</v>
      </c>
      <c r="F436" s="621"/>
      <c r="G436" s="622"/>
      <c r="H436" s="621">
        <f>13+2+1</f>
        <v>16</v>
      </c>
      <c r="I436" s="622">
        <f>SUM(I437:I443)</f>
        <v>25.81</v>
      </c>
      <c r="J436" s="622">
        <f>SUM(J437:J443)</f>
        <v>11.120000000000001</v>
      </c>
      <c r="K436" s="622">
        <f>I436+J436</f>
        <v>36.93</v>
      </c>
      <c r="L436" s="622">
        <f>H436*I436</f>
        <v>412.96</v>
      </c>
      <c r="M436" s="622">
        <f>H436*J436</f>
        <v>177.92000000000002</v>
      </c>
      <c r="N436" s="622">
        <f>L436+M436</f>
        <v>590.88</v>
      </c>
      <c r="O436" s="622">
        <f>N436*$P$4</f>
        <v>145.12012799999999</v>
      </c>
      <c r="P436" s="622">
        <f>N436+O436</f>
        <v>736.00012800000002</v>
      </c>
    </row>
    <row r="437" spans="1:16" ht="24" x14ac:dyDescent="0.25">
      <c r="A437" s="611" t="s">
        <v>1108</v>
      </c>
      <c r="B437" s="611" t="s">
        <v>1290</v>
      </c>
      <c r="C437" s="611"/>
      <c r="D437" s="612" t="s">
        <v>1347</v>
      </c>
      <c r="E437" s="611" t="s">
        <v>251</v>
      </c>
      <c r="F437" s="613">
        <v>1</v>
      </c>
      <c r="G437" s="614">
        <v>17.87</v>
      </c>
      <c r="H437" s="613"/>
      <c r="I437" s="614">
        <f t="shared" ref="I437:I441" si="113">ROUND(F437*G437,2)</f>
        <v>17.87</v>
      </c>
      <c r="J437" s="614"/>
      <c r="K437" s="614">
        <f>I437+J437</f>
        <v>17.87</v>
      </c>
      <c r="L437" s="614"/>
      <c r="M437" s="614"/>
      <c r="N437" s="614"/>
      <c r="O437" s="614"/>
      <c r="P437" s="614"/>
    </row>
    <row r="438" spans="1:16" x14ac:dyDescent="0.25">
      <c r="A438" s="611" t="s">
        <v>1108</v>
      </c>
      <c r="B438" s="611" t="s">
        <v>1290</v>
      </c>
      <c r="C438" s="611"/>
      <c r="D438" s="612" t="s">
        <v>1292</v>
      </c>
      <c r="E438" s="611" t="s">
        <v>251</v>
      </c>
      <c r="F438" s="613">
        <v>2</v>
      </c>
      <c r="G438" s="614">
        <v>3.37</v>
      </c>
      <c r="H438" s="613"/>
      <c r="I438" s="614">
        <f t="shared" si="113"/>
        <v>6.74</v>
      </c>
      <c r="J438" s="614"/>
      <c r="K438" s="614">
        <f>I438+J438</f>
        <v>6.74</v>
      </c>
      <c r="L438" s="614"/>
      <c r="M438" s="614"/>
      <c r="N438" s="614"/>
      <c r="O438" s="614"/>
      <c r="P438" s="614"/>
    </row>
    <row r="439" spans="1:16" x14ac:dyDescent="0.25">
      <c r="A439" s="611" t="s">
        <v>1108</v>
      </c>
      <c r="B439" s="611" t="s">
        <v>1290</v>
      </c>
      <c r="C439" s="611"/>
      <c r="D439" s="612" t="s">
        <v>1299</v>
      </c>
      <c r="E439" s="611" t="s">
        <v>251</v>
      </c>
      <c r="F439" s="613">
        <v>8</v>
      </c>
      <c r="G439" s="614">
        <v>0.08</v>
      </c>
      <c r="H439" s="613"/>
      <c r="I439" s="614">
        <f t="shared" si="113"/>
        <v>0.64</v>
      </c>
      <c r="J439" s="614"/>
      <c r="K439" s="614">
        <f t="shared" ref="K439:K443" si="114">I439+J439</f>
        <v>0.64</v>
      </c>
      <c r="L439" s="614"/>
      <c r="M439" s="614"/>
      <c r="N439" s="614"/>
      <c r="O439" s="614"/>
      <c r="P439" s="614"/>
    </row>
    <row r="440" spans="1:16" x14ac:dyDescent="0.25">
      <c r="A440" s="611" t="s">
        <v>1108</v>
      </c>
      <c r="B440" s="611" t="s">
        <v>1290</v>
      </c>
      <c r="C440" s="611"/>
      <c r="D440" s="612" t="s">
        <v>1300</v>
      </c>
      <c r="E440" s="611" t="s">
        <v>251</v>
      </c>
      <c r="F440" s="613">
        <v>8</v>
      </c>
      <c r="G440" s="614">
        <v>0.04</v>
      </c>
      <c r="H440" s="613"/>
      <c r="I440" s="614">
        <f t="shared" si="113"/>
        <v>0.32</v>
      </c>
      <c r="J440" s="614"/>
      <c r="K440" s="614">
        <f t="shared" si="114"/>
        <v>0.32</v>
      </c>
      <c r="L440" s="614"/>
      <c r="M440" s="614"/>
      <c r="N440" s="614"/>
      <c r="O440" s="614"/>
      <c r="P440" s="614"/>
    </row>
    <row r="441" spans="1:16" x14ac:dyDescent="0.25">
      <c r="A441" s="611" t="s">
        <v>1108</v>
      </c>
      <c r="B441" s="611" t="s">
        <v>1290</v>
      </c>
      <c r="C441" s="611"/>
      <c r="D441" s="612" t="s">
        <v>1301</v>
      </c>
      <c r="E441" s="611" t="s">
        <v>251</v>
      </c>
      <c r="F441" s="613">
        <v>8</v>
      </c>
      <c r="G441" s="614">
        <v>0.03</v>
      </c>
      <c r="H441" s="613"/>
      <c r="I441" s="614">
        <f t="shared" si="113"/>
        <v>0.24</v>
      </c>
      <c r="J441" s="614"/>
      <c r="K441" s="614">
        <f t="shared" si="114"/>
        <v>0.24</v>
      </c>
      <c r="L441" s="614"/>
      <c r="M441" s="614"/>
      <c r="N441" s="614"/>
      <c r="O441" s="614"/>
      <c r="P441" s="614"/>
    </row>
    <row r="442" spans="1:16" x14ac:dyDescent="0.25">
      <c r="A442" s="611" t="s">
        <v>277</v>
      </c>
      <c r="B442" s="611">
        <v>2436</v>
      </c>
      <c r="C442" s="611"/>
      <c r="D442" s="612" t="s">
        <v>1069</v>
      </c>
      <c r="E442" s="611" t="s">
        <v>229</v>
      </c>
      <c r="F442" s="613">
        <v>0.5</v>
      </c>
      <c r="G442" s="614">
        <v>12.57</v>
      </c>
      <c r="H442" s="613"/>
      <c r="I442" s="614"/>
      <c r="J442" s="614">
        <f>ROUND(F442*G442,2)</f>
        <v>6.29</v>
      </c>
      <c r="K442" s="614">
        <f t="shared" si="114"/>
        <v>6.29</v>
      </c>
      <c r="L442" s="614"/>
      <c r="M442" s="614"/>
      <c r="N442" s="614"/>
      <c r="O442" s="614"/>
      <c r="P442" s="614"/>
    </row>
    <row r="443" spans="1:16" x14ac:dyDescent="0.25">
      <c r="A443" s="611" t="s">
        <v>277</v>
      </c>
      <c r="B443" s="611">
        <v>247</v>
      </c>
      <c r="C443" s="611"/>
      <c r="D443" s="612" t="s">
        <v>1070</v>
      </c>
      <c r="E443" s="611" t="s">
        <v>229</v>
      </c>
      <c r="F443" s="613">
        <v>0.5</v>
      </c>
      <c r="G443" s="614">
        <v>9.65</v>
      </c>
      <c r="H443" s="613"/>
      <c r="I443" s="614"/>
      <c r="J443" s="614">
        <f>ROUND(F443*G443,2)</f>
        <v>4.83</v>
      </c>
      <c r="K443" s="614">
        <f t="shared" si="114"/>
        <v>4.83</v>
      </c>
      <c r="L443" s="614"/>
      <c r="M443" s="614"/>
      <c r="N443" s="614"/>
      <c r="O443" s="614"/>
      <c r="P443" s="614"/>
    </row>
    <row r="444" spans="1:16" x14ac:dyDescent="0.25">
      <c r="A444" s="619"/>
      <c r="B444" s="619"/>
      <c r="C444" s="619" t="s">
        <v>1348</v>
      </c>
      <c r="D444" s="620" t="s">
        <v>1349</v>
      </c>
      <c r="E444" s="619" t="s">
        <v>251</v>
      </c>
      <c r="F444" s="621"/>
      <c r="G444" s="622"/>
      <c r="H444" s="621">
        <v>6</v>
      </c>
      <c r="I444" s="622">
        <f>SUM(I445:I451)</f>
        <v>32.75</v>
      </c>
      <c r="J444" s="622">
        <f>SUM(J445:J451)</f>
        <v>12.219999999999999</v>
      </c>
      <c r="K444" s="622">
        <f>I444+J444</f>
        <v>44.97</v>
      </c>
      <c r="L444" s="622">
        <f>H444*I444</f>
        <v>196.5</v>
      </c>
      <c r="M444" s="622">
        <f>H444*J444</f>
        <v>73.319999999999993</v>
      </c>
      <c r="N444" s="622">
        <f>L444+M444</f>
        <v>269.82</v>
      </c>
      <c r="O444" s="622">
        <f>N444*$P$4</f>
        <v>66.267792</v>
      </c>
      <c r="P444" s="622">
        <f>N444+O444</f>
        <v>336.08779199999998</v>
      </c>
    </row>
    <row r="445" spans="1:16" ht="24" x14ac:dyDescent="0.25">
      <c r="A445" s="611" t="s">
        <v>1108</v>
      </c>
      <c r="B445" s="611" t="s">
        <v>1290</v>
      </c>
      <c r="C445" s="611"/>
      <c r="D445" s="612" t="s">
        <v>1350</v>
      </c>
      <c r="E445" s="611" t="s">
        <v>251</v>
      </c>
      <c r="F445" s="613">
        <v>1</v>
      </c>
      <c r="G445" s="614">
        <v>22.49</v>
      </c>
      <c r="H445" s="613"/>
      <c r="I445" s="614">
        <f t="shared" ref="I445:I449" si="115">ROUND(F445*G445,2)</f>
        <v>22.49</v>
      </c>
      <c r="J445" s="614"/>
      <c r="K445" s="614">
        <f>I445+J445</f>
        <v>22.49</v>
      </c>
      <c r="L445" s="614"/>
      <c r="M445" s="614"/>
      <c r="N445" s="614"/>
      <c r="O445" s="614"/>
      <c r="P445" s="614"/>
    </row>
    <row r="446" spans="1:16" x14ac:dyDescent="0.25">
      <c r="A446" s="611" t="s">
        <v>1108</v>
      </c>
      <c r="B446" s="611" t="s">
        <v>1290</v>
      </c>
      <c r="C446" s="611"/>
      <c r="D446" s="612" t="s">
        <v>1308</v>
      </c>
      <c r="E446" s="611" t="s">
        <v>251</v>
      </c>
      <c r="F446" s="613">
        <v>2</v>
      </c>
      <c r="G446" s="614">
        <v>4.53</v>
      </c>
      <c r="H446" s="613"/>
      <c r="I446" s="614">
        <f t="shared" si="115"/>
        <v>9.06</v>
      </c>
      <c r="J446" s="614"/>
      <c r="K446" s="614">
        <f>I446+J446</f>
        <v>9.06</v>
      </c>
      <c r="L446" s="614"/>
      <c r="M446" s="614"/>
      <c r="N446" s="614"/>
      <c r="O446" s="614"/>
      <c r="P446" s="614"/>
    </row>
    <row r="447" spans="1:16" x14ac:dyDescent="0.25">
      <c r="A447" s="611" t="s">
        <v>1108</v>
      </c>
      <c r="B447" s="611" t="s">
        <v>1290</v>
      </c>
      <c r="C447" s="611"/>
      <c r="D447" s="612" t="s">
        <v>1299</v>
      </c>
      <c r="E447" s="611" t="s">
        <v>251</v>
      </c>
      <c r="F447" s="613">
        <v>8</v>
      </c>
      <c r="G447" s="614">
        <v>0.08</v>
      </c>
      <c r="H447" s="613"/>
      <c r="I447" s="614">
        <f t="shared" si="115"/>
        <v>0.64</v>
      </c>
      <c r="J447" s="614"/>
      <c r="K447" s="614">
        <f t="shared" ref="K447:K451" si="116">I447+J447</f>
        <v>0.64</v>
      </c>
      <c r="L447" s="614"/>
      <c r="M447" s="614"/>
      <c r="N447" s="614"/>
      <c r="O447" s="614"/>
      <c r="P447" s="614"/>
    </row>
    <row r="448" spans="1:16" x14ac:dyDescent="0.25">
      <c r="A448" s="611" t="s">
        <v>1108</v>
      </c>
      <c r="B448" s="611" t="s">
        <v>1290</v>
      </c>
      <c r="C448" s="611"/>
      <c r="D448" s="612" t="s">
        <v>1300</v>
      </c>
      <c r="E448" s="611" t="s">
        <v>251</v>
      </c>
      <c r="F448" s="613">
        <v>8</v>
      </c>
      <c r="G448" s="614">
        <v>0.04</v>
      </c>
      <c r="H448" s="613"/>
      <c r="I448" s="614">
        <f t="shared" si="115"/>
        <v>0.32</v>
      </c>
      <c r="J448" s="614"/>
      <c r="K448" s="614">
        <f t="shared" si="116"/>
        <v>0.32</v>
      </c>
      <c r="L448" s="614"/>
      <c r="M448" s="614"/>
      <c r="N448" s="614"/>
      <c r="O448" s="614"/>
      <c r="P448" s="614"/>
    </row>
    <row r="449" spans="1:16" x14ac:dyDescent="0.25">
      <c r="A449" s="611" t="s">
        <v>1108</v>
      </c>
      <c r="B449" s="611" t="s">
        <v>1290</v>
      </c>
      <c r="C449" s="611"/>
      <c r="D449" s="612" t="s">
        <v>1301</v>
      </c>
      <c r="E449" s="611" t="s">
        <v>251</v>
      </c>
      <c r="F449" s="613">
        <v>8</v>
      </c>
      <c r="G449" s="614">
        <v>0.03</v>
      </c>
      <c r="H449" s="613"/>
      <c r="I449" s="614">
        <f t="shared" si="115"/>
        <v>0.24</v>
      </c>
      <c r="J449" s="614"/>
      <c r="K449" s="614">
        <f t="shared" si="116"/>
        <v>0.24</v>
      </c>
      <c r="L449" s="614"/>
      <c r="M449" s="614"/>
      <c r="N449" s="614"/>
      <c r="O449" s="614"/>
      <c r="P449" s="614"/>
    </row>
    <row r="450" spans="1:16" x14ac:dyDescent="0.25">
      <c r="A450" s="611" t="s">
        <v>277</v>
      </c>
      <c r="B450" s="611">
        <v>2436</v>
      </c>
      <c r="C450" s="611"/>
      <c r="D450" s="612" t="s">
        <v>1069</v>
      </c>
      <c r="E450" s="611" t="s">
        <v>229</v>
      </c>
      <c r="F450" s="613">
        <v>0.55000000000000004</v>
      </c>
      <c r="G450" s="614">
        <v>12.57</v>
      </c>
      <c r="H450" s="613"/>
      <c r="I450" s="614"/>
      <c r="J450" s="614">
        <f>ROUND(F450*G450,2)</f>
        <v>6.91</v>
      </c>
      <c r="K450" s="614">
        <f t="shared" si="116"/>
        <v>6.91</v>
      </c>
      <c r="L450" s="614"/>
      <c r="M450" s="614"/>
      <c r="N450" s="614"/>
      <c r="O450" s="614"/>
      <c r="P450" s="614"/>
    </row>
    <row r="451" spans="1:16" x14ac:dyDescent="0.25">
      <c r="A451" s="611" t="s">
        <v>277</v>
      </c>
      <c r="B451" s="611">
        <v>247</v>
      </c>
      <c r="C451" s="611"/>
      <c r="D451" s="612" t="s">
        <v>1070</v>
      </c>
      <c r="E451" s="611" t="s">
        <v>229</v>
      </c>
      <c r="F451" s="613">
        <v>0.55000000000000004</v>
      </c>
      <c r="G451" s="614">
        <v>9.65</v>
      </c>
      <c r="H451" s="613"/>
      <c r="I451" s="614"/>
      <c r="J451" s="614">
        <f>ROUND(F451*G451,2)</f>
        <v>5.31</v>
      </c>
      <c r="K451" s="614">
        <f t="shared" si="116"/>
        <v>5.31</v>
      </c>
      <c r="L451" s="614"/>
      <c r="M451" s="614"/>
      <c r="N451" s="614"/>
      <c r="O451" s="614"/>
      <c r="P451" s="614"/>
    </row>
    <row r="452" spans="1:16" x14ac:dyDescent="0.25">
      <c r="A452" s="611"/>
      <c r="B452" s="611"/>
      <c r="C452" s="611"/>
      <c r="D452" s="612"/>
      <c r="E452" s="611"/>
      <c r="F452" s="613"/>
      <c r="G452" s="614"/>
      <c r="H452" s="613"/>
      <c r="I452" s="614"/>
      <c r="J452" s="614"/>
      <c r="K452" s="614"/>
      <c r="L452" s="614"/>
      <c r="M452" s="614"/>
      <c r="N452" s="614"/>
      <c r="O452" s="614"/>
      <c r="P452" s="614"/>
    </row>
    <row r="453" spans="1:16" s="618" customFormat="1" x14ac:dyDescent="0.25">
      <c r="A453" s="615"/>
      <c r="B453" s="615"/>
      <c r="C453" s="615" t="s">
        <v>1351</v>
      </c>
      <c r="D453" s="628" t="s">
        <v>164</v>
      </c>
      <c r="E453" s="615"/>
      <c r="F453" s="616"/>
      <c r="G453" s="617"/>
      <c r="H453" s="616"/>
      <c r="I453" s="617"/>
      <c r="J453" s="617"/>
      <c r="K453" s="617"/>
      <c r="L453" s="617"/>
      <c r="M453" s="617"/>
      <c r="N453" s="617"/>
      <c r="O453" s="617"/>
      <c r="P453" s="617">
        <f>SUM(P455:P515)</f>
        <v>126071.79717599996</v>
      </c>
    </row>
    <row r="454" spans="1:16" x14ac:dyDescent="0.25">
      <c r="A454" s="611"/>
      <c r="B454" s="611"/>
      <c r="C454" s="611"/>
      <c r="D454" s="612"/>
      <c r="E454" s="611"/>
      <c r="F454" s="613"/>
      <c r="G454" s="614"/>
      <c r="H454" s="613"/>
      <c r="I454" s="614"/>
      <c r="J454" s="614"/>
      <c r="K454" s="614"/>
      <c r="L454" s="614"/>
      <c r="M454" s="614"/>
      <c r="N454" s="614"/>
      <c r="O454" s="614"/>
      <c r="P454" s="614"/>
    </row>
    <row r="455" spans="1:16" ht="24" x14ac:dyDescent="0.25">
      <c r="A455" s="619"/>
      <c r="B455" s="619"/>
      <c r="C455" s="619" t="s">
        <v>1352</v>
      </c>
      <c r="D455" s="620" t="s">
        <v>1353</v>
      </c>
      <c r="E455" s="619" t="s">
        <v>248</v>
      </c>
      <c r="F455" s="621" t="s">
        <v>1207</v>
      </c>
      <c r="G455" s="622"/>
      <c r="H455" s="621">
        <v>18918</v>
      </c>
      <c r="I455" s="622">
        <f>SUM(I456:I459)</f>
        <v>0.94000000000000006</v>
      </c>
      <c r="J455" s="622">
        <f>SUM(J456:J459)</f>
        <v>2.44</v>
      </c>
      <c r="K455" s="622">
        <f>I455+J455</f>
        <v>3.38</v>
      </c>
      <c r="L455" s="622">
        <f>H455*I455</f>
        <v>17782.920000000002</v>
      </c>
      <c r="M455" s="622">
        <f>H455*J455</f>
        <v>46159.92</v>
      </c>
      <c r="N455" s="622">
        <f>L455+M455</f>
        <v>63942.84</v>
      </c>
      <c r="O455" s="622">
        <f>N455*$P$4</f>
        <v>15704.361504</v>
      </c>
      <c r="P455" s="622">
        <f>N455+O455</f>
        <v>79647.201503999997</v>
      </c>
    </row>
    <row r="456" spans="1:16" ht="48" x14ac:dyDescent="0.25">
      <c r="A456" s="611" t="s">
        <v>278</v>
      </c>
      <c r="B456" s="611" t="s">
        <v>1354</v>
      </c>
      <c r="C456" s="611"/>
      <c r="D456" s="612" t="s">
        <v>1355</v>
      </c>
      <c r="E456" s="611" t="s">
        <v>248</v>
      </c>
      <c r="F456" s="613">
        <v>1.02</v>
      </c>
      <c r="G456" s="614">
        <v>0.9</v>
      </c>
      <c r="H456" s="613"/>
      <c r="I456" s="614">
        <f>ROUND(F456*G456,2)</f>
        <v>0.92</v>
      </c>
      <c r="J456" s="614"/>
      <c r="K456" s="614">
        <f t="shared" ref="K456:K464" si="117">I456+J456</f>
        <v>0.92</v>
      </c>
      <c r="L456" s="614"/>
      <c r="M456" s="614"/>
      <c r="N456" s="614"/>
      <c r="O456" s="614"/>
      <c r="P456" s="614"/>
    </row>
    <row r="457" spans="1:16" x14ac:dyDescent="0.25">
      <c r="A457" s="611" t="s">
        <v>277</v>
      </c>
      <c r="B457" s="611">
        <v>21127</v>
      </c>
      <c r="C457" s="611"/>
      <c r="D457" s="612" t="s">
        <v>1356</v>
      </c>
      <c r="E457" s="611" t="s">
        <v>248</v>
      </c>
      <c r="F457" s="613">
        <v>0.01</v>
      </c>
      <c r="G457" s="614">
        <v>1.77</v>
      </c>
      <c r="H457" s="613"/>
      <c r="I457" s="614">
        <f>ROUND(F457*G457,2)</f>
        <v>0.02</v>
      </c>
      <c r="J457" s="614"/>
      <c r="K457" s="614">
        <f t="shared" si="117"/>
        <v>0.02</v>
      </c>
      <c r="L457" s="614"/>
      <c r="M457" s="614"/>
      <c r="N457" s="614"/>
      <c r="O457" s="614"/>
      <c r="P457" s="614"/>
    </row>
    <row r="458" spans="1:16" x14ac:dyDescent="0.25">
      <c r="A458" s="611" t="s">
        <v>277</v>
      </c>
      <c r="B458" s="611">
        <v>2436</v>
      </c>
      <c r="C458" s="611"/>
      <c r="D458" s="612" t="s">
        <v>1069</v>
      </c>
      <c r="E458" s="611" t="s">
        <v>229</v>
      </c>
      <c r="F458" s="613">
        <v>0.11</v>
      </c>
      <c r="G458" s="614">
        <v>12.57</v>
      </c>
      <c r="H458" s="613"/>
      <c r="I458" s="614"/>
      <c r="J458" s="614">
        <f>ROUND(F458*G458,2)</f>
        <v>1.38</v>
      </c>
      <c r="K458" s="614">
        <f t="shared" si="117"/>
        <v>1.38</v>
      </c>
      <c r="L458" s="614"/>
      <c r="M458" s="614"/>
      <c r="N458" s="614"/>
      <c r="O458" s="614"/>
      <c r="P458" s="614"/>
    </row>
    <row r="459" spans="1:16" x14ac:dyDescent="0.25">
      <c r="A459" s="611" t="s">
        <v>277</v>
      </c>
      <c r="B459" s="611">
        <v>247</v>
      </c>
      <c r="C459" s="611"/>
      <c r="D459" s="612" t="s">
        <v>1070</v>
      </c>
      <c r="E459" s="611" t="s">
        <v>229</v>
      </c>
      <c r="F459" s="613">
        <v>0.11</v>
      </c>
      <c r="G459" s="614">
        <v>9.65</v>
      </c>
      <c r="H459" s="613"/>
      <c r="I459" s="614"/>
      <c r="J459" s="614">
        <f>ROUND(F459*G459,2)</f>
        <v>1.06</v>
      </c>
      <c r="K459" s="614">
        <f t="shared" si="117"/>
        <v>1.06</v>
      </c>
      <c r="L459" s="614"/>
      <c r="M459" s="614"/>
      <c r="N459" s="614"/>
      <c r="O459" s="614"/>
      <c r="P459" s="614"/>
    </row>
    <row r="460" spans="1:16" ht="24" x14ac:dyDescent="0.25">
      <c r="A460" s="619"/>
      <c r="B460" s="619"/>
      <c r="C460" s="619" t="s">
        <v>1357</v>
      </c>
      <c r="D460" s="620" t="s">
        <v>1358</v>
      </c>
      <c r="E460" s="619" t="s">
        <v>248</v>
      </c>
      <c r="F460" s="621" t="s">
        <v>1207</v>
      </c>
      <c r="G460" s="622"/>
      <c r="H460" s="621">
        <v>10</v>
      </c>
      <c r="I460" s="622">
        <f>SUM(I461:I464)</f>
        <v>2.25</v>
      </c>
      <c r="J460" s="622">
        <f>SUM(J461:J464)</f>
        <v>2.88</v>
      </c>
      <c r="K460" s="622">
        <f>I460+J460</f>
        <v>5.13</v>
      </c>
      <c r="L460" s="622">
        <f>H460*I460</f>
        <v>22.5</v>
      </c>
      <c r="M460" s="622">
        <f>H460*J460</f>
        <v>28.799999999999997</v>
      </c>
      <c r="N460" s="622">
        <f>L460+M460</f>
        <v>51.3</v>
      </c>
      <c r="O460" s="622">
        <f>N460*$P$4</f>
        <v>12.59928</v>
      </c>
      <c r="P460" s="622">
        <f>N460+O460</f>
        <v>63.899279999999997</v>
      </c>
    </row>
    <row r="461" spans="1:16" ht="48" x14ac:dyDescent="0.25">
      <c r="A461" s="611" t="s">
        <v>278</v>
      </c>
      <c r="B461" s="611" t="s">
        <v>1359</v>
      </c>
      <c r="C461" s="611"/>
      <c r="D461" s="612" t="s">
        <v>1360</v>
      </c>
      <c r="E461" s="611" t="s">
        <v>248</v>
      </c>
      <c r="F461" s="613">
        <v>1.02</v>
      </c>
      <c r="G461" s="614">
        <v>2.19</v>
      </c>
      <c r="H461" s="613"/>
      <c r="I461" s="614">
        <f>ROUND(F461*G461,2)</f>
        <v>2.23</v>
      </c>
      <c r="J461" s="614"/>
      <c r="K461" s="614">
        <f t="shared" si="117"/>
        <v>2.23</v>
      </c>
      <c r="L461" s="614"/>
      <c r="M461" s="614"/>
      <c r="N461" s="614"/>
      <c r="O461" s="614"/>
      <c r="P461" s="614"/>
    </row>
    <row r="462" spans="1:16" x14ac:dyDescent="0.25">
      <c r="A462" s="611" t="s">
        <v>277</v>
      </c>
      <c r="B462" s="611">
        <v>21127</v>
      </c>
      <c r="C462" s="611"/>
      <c r="D462" s="612" t="s">
        <v>1356</v>
      </c>
      <c r="E462" s="611" t="s">
        <v>248</v>
      </c>
      <c r="F462" s="613">
        <v>0.01</v>
      </c>
      <c r="G462" s="614">
        <v>1.77</v>
      </c>
      <c r="H462" s="613"/>
      <c r="I462" s="614">
        <f>ROUND(F462*G462,2)</f>
        <v>0.02</v>
      </c>
      <c r="J462" s="614"/>
      <c r="K462" s="614">
        <f t="shared" si="117"/>
        <v>0.02</v>
      </c>
      <c r="L462" s="614"/>
      <c r="M462" s="614"/>
      <c r="N462" s="614"/>
      <c r="O462" s="614"/>
      <c r="P462" s="614"/>
    </row>
    <row r="463" spans="1:16" x14ac:dyDescent="0.25">
      <c r="A463" s="611" t="s">
        <v>277</v>
      </c>
      <c r="B463" s="611">
        <v>2436</v>
      </c>
      <c r="C463" s="611"/>
      <c r="D463" s="612" t="s">
        <v>1069</v>
      </c>
      <c r="E463" s="611" t="s">
        <v>229</v>
      </c>
      <c r="F463" s="613">
        <v>0.13</v>
      </c>
      <c r="G463" s="614">
        <v>12.57</v>
      </c>
      <c r="H463" s="613"/>
      <c r="I463" s="614"/>
      <c r="J463" s="614">
        <f>ROUND(F463*G463,2)</f>
        <v>1.63</v>
      </c>
      <c r="K463" s="614">
        <f t="shared" si="117"/>
        <v>1.63</v>
      </c>
      <c r="L463" s="614"/>
      <c r="M463" s="614"/>
      <c r="N463" s="614"/>
      <c r="O463" s="614"/>
      <c r="P463" s="614"/>
    </row>
    <row r="464" spans="1:16" x14ac:dyDescent="0.25">
      <c r="A464" s="611" t="s">
        <v>277</v>
      </c>
      <c r="B464" s="611">
        <v>247</v>
      </c>
      <c r="C464" s="611"/>
      <c r="D464" s="612" t="s">
        <v>1070</v>
      </c>
      <c r="E464" s="611" t="s">
        <v>229</v>
      </c>
      <c r="F464" s="613">
        <v>0.13</v>
      </c>
      <c r="G464" s="614">
        <v>9.65</v>
      </c>
      <c r="H464" s="613"/>
      <c r="I464" s="614"/>
      <c r="J464" s="614">
        <f>ROUND(F464*G464,2)</f>
        <v>1.25</v>
      </c>
      <c r="K464" s="614">
        <f t="shared" si="117"/>
        <v>1.25</v>
      </c>
      <c r="L464" s="614"/>
      <c r="M464" s="614"/>
      <c r="N464" s="614"/>
      <c r="O464" s="614"/>
      <c r="P464" s="614"/>
    </row>
    <row r="465" spans="1:16" ht="24" x14ac:dyDescent="0.25">
      <c r="A465" s="619"/>
      <c r="B465" s="619"/>
      <c r="C465" s="619" t="s">
        <v>1361</v>
      </c>
      <c r="D465" s="620" t="s">
        <v>1362</v>
      </c>
      <c r="E465" s="619" t="s">
        <v>248</v>
      </c>
      <c r="F465" s="621" t="s">
        <v>1207</v>
      </c>
      <c r="G465" s="622"/>
      <c r="H465" s="621">
        <v>298</v>
      </c>
      <c r="I465" s="622">
        <f>SUM(I466:I469)</f>
        <v>3.78</v>
      </c>
      <c r="J465" s="622">
        <f>SUM(J466:J469)</f>
        <v>3.1100000000000003</v>
      </c>
      <c r="K465" s="622">
        <f>I465+J465</f>
        <v>6.8900000000000006</v>
      </c>
      <c r="L465" s="622">
        <f>H465*I465</f>
        <v>1126.44</v>
      </c>
      <c r="M465" s="622">
        <f>H465*J465</f>
        <v>926.78000000000009</v>
      </c>
      <c r="N465" s="622">
        <f>L465+M465</f>
        <v>2053.2200000000003</v>
      </c>
      <c r="O465" s="622">
        <f>N465*$P$4</f>
        <v>504.2708320000001</v>
      </c>
      <c r="P465" s="622">
        <f>N465+O465</f>
        <v>2557.4908320000004</v>
      </c>
    </row>
    <row r="466" spans="1:16" ht="48" x14ac:dyDescent="0.25">
      <c r="A466" s="624" t="s">
        <v>278</v>
      </c>
      <c r="B466" s="611" t="s">
        <v>1363</v>
      </c>
      <c r="C466" s="611"/>
      <c r="D466" s="612" t="s">
        <v>1364</v>
      </c>
      <c r="E466" s="611" t="s">
        <v>248</v>
      </c>
      <c r="F466" s="613">
        <v>1.02</v>
      </c>
      <c r="G466" s="623">
        <v>3.69</v>
      </c>
      <c r="H466" s="613"/>
      <c r="I466" s="614">
        <f>ROUND(F466*G466,2)</f>
        <v>3.76</v>
      </c>
      <c r="J466" s="614"/>
      <c r="K466" s="614">
        <f t="shared" ref="K466:K469" si="118">I466+J466</f>
        <v>3.76</v>
      </c>
      <c r="L466" s="614"/>
      <c r="M466" s="614"/>
      <c r="N466" s="614"/>
      <c r="O466" s="614"/>
      <c r="P466" s="614"/>
    </row>
    <row r="467" spans="1:16" x14ac:dyDescent="0.25">
      <c r="A467" s="611" t="s">
        <v>277</v>
      </c>
      <c r="B467" s="611">
        <v>21127</v>
      </c>
      <c r="C467" s="611"/>
      <c r="D467" s="612" t="s">
        <v>1356</v>
      </c>
      <c r="E467" s="611" t="s">
        <v>248</v>
      </c>
      <c r="F467" s="613">
        <v>0.01</v>
      </c>
      <c r="G467" s="614">
        <v>1.77</v>
      </c>
      <c r="H467" s="613"/>
      <c r="I467" s="614">
        <f>ROUND(F467*G467,2)</f>
        <v>0.02</v>
      </c>
      <c r="J467" s="614"/>
      <c r="K467" s="614">
        <f t="shared" si="118"/>
        <v>0.02</v>
      </c>
      <c r="L467" s="614"/>
      <c r="M467" s="614"/>
      <c r="N467" s="614"/>
      <c r="O467" s="614"/>
      <c r="P467" s="614"/>
    </row>
    <row r="468" spans="1:16" x14ac:dyDescent="0.25">
      <c r="A468" s="611" t="s">
        <v>277</v>
      </c>
      <c r="B468" s="611">
        <v>2436</v>
      </c>
      <c r="C468" s="611"/>
      <c r="D468" s="612" t="s">
        <v>1069</v>
      </c>
      <c r="E468" s="611" t="s">
        <v>229</v>
      </c>
      <c r="F468" s="613">
        <v>0.14000000000000001</v>
      </c>
      <c r="G468" s="614">
        <v>12.57</v>
      </c>
      <c r="H468" s="613"/>
      <c r="I468" s="614"/>
      <c r="J468" s="614">
        <f>ROUND(F468*G468,2)</f>
        <v>1.76</v>
      </c>
      <c r="K468" s="614">
        <f t="shared" si="118"/>
        <v>1.76</v>
      </c>
      <c r="L468" s="614"/>
      <c r="M468" s="614"/>
      <c r="N468" s="614"/>
      <c r="O468" s="614"/>
      <c r="P468" s="614"/>
    </row>
    <row r="469" spans="1:16" x14ac:dyDescent="0.25">
      <c r="A469" s="611" t="s">
        <v>277</v>
      </c>
      <c r="B469" s="611">
        <v>247</v>
      </c>
      <c r="C469" s="611"/>
      <c r="D469" s="612" t="s">
        <v>1070</v>
      </c>
      <c r="E469" s="611" t="s">
        <v>229</v>
      </c>
      <c r="F469" s="613">
        <v>0.14000000000000001</v>
      </c>
      <c r="G469" s="614">
        <v>9.65</v>
      </c>
      <c r="H469" s="613"/>
      <c r="I469" s="614"/>
      <c r="J469" s="614">
        <f>ROUND(F469*G469,2)</f>
        <v>1.35</v>
      </c>
      <c r="K469" s="614">
        <f t="shared" si="118"/>
        <v>1.35</v>
      </c>
      <c r="L469" s="614"/>
      <c r="M469" s="614"/>
      <c r="N469" s="614"/>
      <c r="O469" s="614"/>
      <c r="P469" s="614"/>
    </row>
    <row r="470" spans="1:16" ht="24" x14ac:dyDescent="0.25">
      <c r="A470" s="619"/>
      <c r="B470" s="619"/>
      <c r="C470" s="619" t="s">
        <v>1365</v>
      </c>
      <c r="D470" s="620" t="s">
        <v>1366</v>
      </c>
      <c r="E470" s="619" t="s">
        <v>248</v>
      </c>
      <c r="F470" s="621" t="s">
        <v>1207</v>
      </c>
      <c r="G470" s="622"/>
      <c r="H470" s="621">
        <v>8</v>
      </c>
      <c r="I470" s="622">
        <f>SUM(I471:I474)</f>
        <v>5.76</v>
      </c>
      <c r="J470" s="622">
        <f>SUM(J471:J474)</f>
        <v>3.55</v>
      </c>
      <c r="K470" s="622">
        <f>I470+J470</f>
        <v>9.3099999999999987</v>
      </c>
      <c r="L470" s="622">
        <f>H470*I470</f>
        <v>46.08</v>
      </c>
      <c r="M470" s="622">
        <f>H470*J470</f>
        <v>28.4</v>
      </c>
      <c r="N470" s="622">
        <f>L470+M470</f>
        <v>74.47999999999999</v>
      </c>
      <c r="O470" s="622">
        <f>N470*$P$4</f>
        <v>18.292287999999999</v>
      </c>
      <c r="P470" s="622">
        <f>N470+O470</f>
        <v>92.772287999999989</v>
      </c>
    </row>
    <row r="471" spans="1:16" ht="48" x14ac:dyDescent="0.25">
      <c r="A471" s="611" t="s">
        <v>278</v>
      </c>
      <c r="B471" s="611" t="s">
        <v>1367</v>
      </c>
      <c r="C471" s="611"/>
      <c r="D471" s="612" t="s">
        <v>1368</v>
      </c>
      <c r="E471" s="611" t="s">
        <v>248</v>
      </c>
      <c r="F471" s="613">
        <v>1.02</v>
      </c>
      <c r="G471" s="623">
        <v>5.63</v>
      </c>
      <c r="H471" s="613"/>
      <c r="I471" s="614">
        <f>ROUND(F471*G471,2)</f>
        <v>5.74</v>
      </c>
      <c r="J471" s="614"/>
      <c r="K471" s="614">
        <f t="shared" ref="K471:K474" si="119">I471+J471</f>
        <v>5.74</v>
      </c>
      <c r="L471" s="614"/>
      <c r="M471" s="614"/>
      <c r="N471" s="614"/>
      <c r="O471" s="614"/>
      <c r="P471" s="614"/>
    </row>
    <row r="472" spans="1:16" x14ac:dyDescent="0.25">
      <c r="A472" s="611" t="s">
        <v>277</v>
      </c>
      <c r="B472" s="611">
        <v>21127</v>
      </c>
      <c r="C472" s="611"/>
      <c r="D472" s="612" t="s">
        <v>1356</v>
      </c>
      <c r="E472" s="611" t="s">
        <v>248</v>
      </c>
      <c r="F472" s="613">
        <v>0.01</v>
      </c>
      <c r="G472" s="614">
        <v>1.77</v>
      </c>
      <c r="H472" s="613"/>
      <c r="I472" s="614">
        <f>ROUND(F472*G472,2)</f>
        <v>0.02</v>
      </c>
      <c r="J472" s="614"/>
      <c r="K472" s="614">
        <f t="shared" si="119"/>
        <v>0.02</v>
      </c>
      <c r="L472" s="614"/>
      <c r="M472" s="614"/>
      <c r="N472" s="614"/>
      <c r="O472" s="614"/>
      <c r="P472" s="614"/>
    </row>
    <row r="473" spans="1:16" x14ac:dyDescent="0.25">
      <c r="A473" s="611" t="s">
        <v>277</v>
      </c>
      <c r="B473" s="611">
        <v>2436</v>
      </c>
      <c r="C473" s="611"/>
      <c r="D473" s="612" t="s">
        <v>1069</v>
      </c>
      <c r="E473" s="611" t="s">
        <v>229</v>
      </c>
      <c r="F473" s="613">
        <v>0.16</v>
      </c>
      <c r="G473" s="614">
        <v>12.57</v>
      </c>
      <c r="H473" s="613"/>
      <c r="I473" s="614"/>
      <c r="J473" s="614">
        <f>ROUND(F473*G473,2)</f>
        <v>2.0099999999999998</v>
      </c>
      <c r="K473" s="614">
        <f t="shared" si="119"/>
        <v>2.0099999999999998</v>
      </c>
      <c r="L473" s="614"/>
      <c r="M473" s="614"/>
      <c r="N473" s="614"/>
      <c r="O473" s="614"/>
      <c r="P473" s="614"/>
    </row>
    <row r="474" spans="1:16" x14ac:dyDescent="0.25">
      <c r="A474" s="611" t="s">
        <v>277</v>
      </c>
      <c r="B474" s="611">
        <v>247</v>
      </c>
      <c r="C474" s="611"/>
      <c r="D474" s="612" t="s">
        <v>1070</v>
      </c>
      <c r="E474" s="611" t="s">
        <v>229</v>
      </c>
      <c r="F474" s="613">
        <v>0.16</v>
      </c>
      <c r="G474" s="614">
        <v>9.65</v>
      </c>
      <c r="H474" s="613"/>
      <c r="I474" s="614"/>
      <c r="J474" s="614">
        <f>ROUND(F474*G474,2)</f>
        <v>1.54</v>
      </c>
      <c r="K474" s="614">
        <f t="shared" si="119"/>
        <v>1.54</v>
      </c>
      <c r="L474" s="614"/>
      <c r="M474" s="614"/>
      <c r="N474" s="614"/>
      <c r="O474" s="614"/>
      <c r="P474" s="614"/>
    </row>
    <row r="475" spans="1:16" ht="24" x14ac:dyDescent="0.25">
      <c r="A475" s="619"/>
      <c r="B475" s="619"/>
      <c r="C475" s="619" t="s">
        <v>1369</v>
      </c>
      <c r="D475" s="620" t="s">
        <v>1370</v>
      </c>
      <c r="E475" s="619" t="s">
        <v>248</v>
      </c>
      <c r="F475" s="621" t="s">
        <v>1207</v>
      </c>
      <c r="G475" s="622"/>
      <c r="H475" s="621">
        <v>25</v>
      </c>
      <c r="I475" s="622">
        <f>SUM(I476:I479)</f>
        <v>8.66</v>
      </c>
      <c r="J475" s="622">
        <f>SUM(J476:J479)</f>
        <v>3.7800000000000002</v>
      </c>
      <c r="K475" s="622">
        <f>I475+J475</f>
        <v>12.440000000000001</v>
      </c>
      <c r="L475" s="622">
        <f>H475*I475</f>
        <v>216.5</v>
      </c>
      <c r="M475" s="622">
        <f>H475*J475</f>
        <v>94.5</v>
      </c>
      <c r="N475" s="622">
        <f>L475+M475</f>
        <v>311</v>
      </c>
      <c r="O475" s="622">
        <f>N475*$P$4</f>
        <v>76.381600000000006</v>
      </c>
      <c r="P475" s="622">
        <f>N475+O475</f>
        <v>387.38159999999999</v>
      </c>
    </row>
    <row r="476" spans="1:16" ht="48" x14ac:dyDescent="0.25">
      <c r="A476" s="611" t="s">
        <v>278</v>
      </c>
      <c r="B476" s="611" t="s">
        <v>1371</v>
      </c>
      <c r="C476" s="611"/>
      <c r="D476" s="612" t="s">
        <v>1372</v>
      </c>
      <c r="E476" s="611" t="s">
        <v>248</v>
      </c>
      <c r="F476" s="613">
        <v>1.02</v>
      </c>
      <c r="G476" s="623">
        <v>8.4700000000000006</v>
      </c>
      <c r="H476" s="613"/>
      <c r="I476" s="614">
        <f>ROUND(F476*G476,2)</f>
        <v>8.64</v>
      </c>
      <c r="J476" s="614"/>
      <c r="K476" s="614">
        <f t="shared" ref="K476:K514" si="120">I476+J476</f>
        <v>8.64</v>
      </c>
      <c r="L476" s="614"/>
      <c r="M476" s="614"/>
      <c r="N476" s="614"/>
      <c r="O476" s="614"/>
      <c r="P476" s="614"/>
    </row>
    <row r="477" spans="1:16" x14ac:dyDescent="0.25">
      <c r="A477" s="611" t="s">
        <v>277</v>
      </c>
      <c r="B477" s="611">
        <v>21127</v>
      </c>
      <c r="C477" s="611"/>
      <c r="D477" s="612" t="s">
        <v>1356</v>
      </c>
      <c r="E477" s="611" t="s">
        <v>248</v>
      </c>
      <c r="F477" s="613">
        <v>0.01</v>
      </c>
      <c r="G477" s="614">
        <v>1.77</v>
      </c>
      <c r="H477" s="613"/>
      <c r="I477" s="614">
        <f>ROUND(F477*G477,2)</f>
        <v>0.02</v>
      </c>
      <c r="J477" s="614"/>
      <c r="K477" s="614">
        <f t="shared" si="120"/>
        <v>0.02</v>
      </c>
      <c r="L477" s="614"/>
      <c r="M477" s="614"/>
      <c r="N477" s="614"/>
      <c r="O477" s="614"/>
      <c r="P477" s="614"/>
    </row>
    <row r="478" spans="1:16" x14ac:dyDescent="0.25">
      <c r="A478" s="611" t="s">
        <v>277</v>
      </c>
      <c r="B478" s="611">
        <v>2436</v>
      </c>
      <c r="C478" s="611"/>
      <c r="D478" s="612" t="s">
        <v>1069</v>
      </c>
      <c r="E478" s="611" t="s">
        <v>229</v>
      </c>
      <c r="F478" s="613">
        <v>0.17</v>
      </c>
      <c r="G478" s="614">
        <v>12.57</v>
      </c>
      <c r="H478" s="613"/>
      <c r="I478" s="614"/>
      <c r="J478" s="614">
        <f>ROUND(F478*G478,2)</f>
        <v>2.14</v>
      </c>
      <c r="K478" s="614">
        <f t="shared" si="120"/>
        <v>2.14</v>
      </c>
      <c r="L478" s="614"/>
      <c r="M478" s="614"/>
      <c r="N478" s="614"/>
      <c r="O478" s="614"/>
      <c r="P478" s="614"/>
    </row>
    <row r="479" spans="1:16" x14ac:dyDescent="0.25">
      <c r="A479" s="611" t="s">
        <v>277</v>
      </c>
      <c r="B479" s="611">
        <v>247</v>
      </c>
      <c r="C479" s="611"/>
      <c r="D479" s="612" t="s">
        <v>1070</v>
      </c>
      <c r="E479" s="611" t="s">
        <v>229</v>
      </c>
      <c r="F479" s="613">
        <v>0.17</v>
      </c>
      <c r="G479" s="614">
        <v>9.65</v>
      </c>
      <c r="H479" s="613"/>
      <c r="I479" s="614"/>
      <c r="J479" s="614">
        <f>ROUND(F479*G479,2)</f>
        <v>1.64</v>
      </c>
      <c r="K479" s="614">
        <f t="shared" si="120"/>
        <v>1.64</v>
      </c>
      <c r="L479" s="614"/>
      <c r="M479" s="614"/>
      <c r="N479" s="614"/>
      <c r="O479" s="614"/>
      <c r="P479" s="614"/>
    </row>
    <row r="480" spans="1:16" ht="24" x14ac:dyDescent="0.25">
      <c r="A480" s="619"/>
      <c r="B480" s="619"/>
      <c r="C480" s="619" t="s">
        <v>1373</v>
      </c>
      <c r="D480" s="620" t="s">
        <v>1374</v>
      </c>
      <c r="E480" s="619" t="s">
        <v>248</v>
      </c>
      <c r="F480" s="621" t="s">
        <v>1207</v>
      </c>
      <c r="G480" s="622"/>
      <c r="H480" s="621">
        <v>173</v>
      </c>
      <c r="I480" s="622">
        <f>SUM(I481:I484)</f>
        <v>2.34</v>
      </c>
      <c r="J480" s="622">
        <f>SUM(J481:J484)</f>
        <v>2.88</v>
      </c>
      <c r="K480" s="622">
        <f>I480+J480</f>
        <v>5.22</v>
      </c>
      <c r="L480" s="622">
        <f>H480*I480</f>
        <v>404.82</v>
      </c>
      <c r="M480" s="622">
        <f>H480*J480</f>
        <v>498.24</v>
      </c>
      <c r="N480" s="622">
        <f>L480+M480</f>
        <v>903.06</v>
      </c>
      <c r="O480" s="622">
        <f>N480*$P$4</f>
        <v>221.79153600000001</v>
      </c>
      <c r="P480" s="622">
        <f>N480+O480</f>
        <v>1124.8515359999999</v>
      </c>
    </row>
    <row r="481" spans="1:16" ht="48" x14ac:dyDescent="0.25">
      <c r="A481" s="611" t="s">
        <v>278</v>
      </c>
      <c r="B481" s="611" t="s">
        <v>1375</v>
      </c>
      <c r="C481" s="611"/>
      <c r="D481" s="612" t="s">
        <v>1376</v>
      </c>
      <c r="E481" s="611" t="s">
        <v>248</v>
      </c>
      <c r="F481" s="613">
        <v>1.02</v>
      </c>
      <c r="G481" s="614">
        <v>2.2599999999999998</v>
      </c>
      <c r="H481" s="613"/>
      <c r="I481" s="614">
        <f>ROUND(F481*G481,2)</f>
        <v>2.31</v>
      </c>
      <c r="J481" s="614"/>
      <c r="K481" s="614">
        <f t="shared" si="120"/>
        <v>2.31</v>
      </c>
      <c r="L481" s="614"/>
      <c r="M481" s="614"/>
      <c r="N481" s="614"/>
      <c r="O481" s="614"/>
      <c r="P481" s="614"/>
    </row>
    <row r="482" spans="1:16" x14ac:dyDescent="0.25">
      <c r="A482" s="611" t="s">
        <v>277</v>
      </c>
      <c r="B482" s="611">
        <v>404</v>
      </c>
      <c r="C482" s="611"/>
      <c r="D482" s="612" t="s">
        <v>1210</v>
      </c>
      <c r="E482" s="611" t="s">
        <v>248</v>
      </c>
      <c r="F482" s="613">
        <v>0.01</v>
      </c>
      <c r="G482" s="614">
        <v>2.7</v>
      </c>
      <c r="H482" s="613"/>
      <c r="I482" s="614">
        <f>ROUND(F482*G482,2)</f>
        <v>0.03</v>
      </c>
      <c r="J482" s="614"/>
      <c r="K482" s="614">
        <f t="shared" si="120"/>
        <v>0.03</v>
      </c>
      <c r="L482" s="614"/>
      <c r="M482" s="614"/>
      <c r="N482" s="614"/>
      <c r="O482" s="614"/>
      <c r="P482" s="614"/>
    </row>
    <row r="483" spans="1:16" x14ac:dyDescent="0.25">
      <c r="A483" s="611" t="s">
        <v>277</v>
      </c>
      <c r="B483" s="611">
        <v>2436</v>
      </c>
      <c r="C483" s="611"/>
      <c r="D483" s="612" t="s">
        <v>1069</v>
      </c>
      <c r="E483" s="611" t="s">
        <v>229</v>
      </c>
      <c r="F483" s="613">
        <v>0.13</v>
      </c>
      <c r="G483" s="614">
        <v>12.57</v>
      </c>
      <c r="H483" s="613"/>
      <c r="I483" s="614"/>
      <c r="J483" s="614">
        <f>ROUND(F483*G483,2)</f>
        <v>1.63</v>
      </c>
      <c r="K483" s="614">
        <f t="shared" si="120"/>
        <v>1.63</v>
      </c>
      <c r="L483" s="614"/>
      <c r="M483" s="614"/>
      <c r="N483" s="614"/>
      <c r="O483" s="614"/>
      <c r="P483" s="614"/>
    </row>
    <row r="484" spans="1:16" x14ac:dyDescent="0.25">
      <c r="A484" s="611" t="s">
        <v>277</v>
      </c>
      <c r="B484" s="611">
        <v>247</v>
      </c>
      <c r="C484" s="611"/>
      <c r="D484" s="612" t="s">
        <v>1070</v>
      </c>
      <c r="E484" s="611" t="s">
        <v>229</v>
      </c>
      <c r="F484" s="613">
        <v>0.13</v>
      </c>
      <c r="G484" s="614">
        <v>9.65</v>
      </c>
      <c r="H484" s="613"/>
      <c r="I484" s="614"/>
      <c r="J484" s="614">
        <f>ROUND(F484*G484,2)</f>
        <v>1.25</v>
      </c>
      <c r="K484" s="614">
        <f t="shared" si="120"/>
        <v>1.25</v>
      </c>
      <c r="L484" s="614"/>
      <c r="M484" s="614"/>
      <c r="N484" s="614"/>
      <c r="O484" s="614"/>
      <c r="P484" s="614"/>
    </row>
    <row r="485" spans="1:16" ht="24" x14ac:dyDescent="0.25">
      <c r="A485" s="619"/>
      <c r="B485" s="619"/>
      <c r="C485" s="619" t="s">
        <v>1377</v>
      </c>
      <c r="D485" s="620" t="s">
        <v>1378</v>
      </c>
      <c r="E485" s="619" t="s">
        <v>248</v>
      </c>
      <c r="F485" s="621" t="s">
        <v>1207</v>
      </c>
      <c r="G485" s="622"/>
      <c r="H485" s="621">
        <v>496</v>
      </c>
      <c r="I485" s="622">
        <f>SUM(I486:I489)</f>
        <v>3.7899999999999996</v>
      </c>
      <c r="J485" s="622">
        <f>SUM(J486:J489)</f>
        <v>3.1100000000000003</v>
      </c>
      <c r="K485" s="622">
        <f t="shared" si="120"/>
        <v>6.9</v>
      </c>
      <c r="L485" s="622">
        <f>H485*I485</f>
        <v>1879.8399999999997</v>
      </c>
      <c r="M485" s="622">
        <f>H485*J485</f>
        <v>1542.5600000000002</v>
      </c>
      <c r="N485" s="622">
        <f>L485+M485</f>
        <v>3422.3999999999996</v>
      </c>
      <c r="O485" s="622">
        <f>N485*$P$4</f>
        <v>840.54143999999997</v>
      </c>
      <c r="P485" s="622">
        <f>N485+O485</f>
        <v>4262.9414399999996</v>
      </c>
    </row>
    <row r="486" spans="1:16" ht="48" x14ac:dyDescent="0.25">
      <c r="A486" s="611" t="s">
        <v>278</v>
      </c>
      <c r="B486" s="611" t="s">
        <v>1363</v>
      </c>
      <c r="C486" s="611"/>
      <c r="D486" s="612" t="s">
        <v>1379</v>
      </c>
      <c r="E486" s="611" t="s">
        <v>248</v>
      </c>
      <c r="F486" s="613">
        <v>1.02</v>
      </c>
      <c r="G486" s="614">
        <v>3.69</v>
      </c>
      <c r="H486" s="613"/>
      <c r="I486" s="614">
        <f>ROUND(F486*G486,2)</f>
        <v>3.76</v>
      </c>
      <c r="J486" s="614"/>
      <c r="K486" s="614">
        <f t="shared" si="120"/>
        <v>3.76</v>
      </c>
      <c r="L486" s="614"/>
      <c r="M486" s="614"/>
      <c r="N486" s="614"/>
      <c r="O486" s="614"/>
      <c r="P486" s="614"/>
    </row>
    <row r="487" spans="1:16" x14ac:dyDescent="0.25">
      <c r="A487" s="611" t="s">
        <v>277</v>
      </c>
      <c r="B487" s="611">
        <v>404</v>
      </c>
      <c r="C487" s="611"/>
      <c r="D487" s="612" t="s">
        <v>1210</v>
      </c>
      <c r="E487" s="611" t="s">
        <v>248</v>
      </c>
      <c r="F487" s="613">
        <v>0.01</v>
      </c>
      <c r="G487" s="614">
        <v>2.7</v>
      </c>
      <c r="H487" s="613"/>
      <c r="I487" s="614">
        <f>ROUND(F487*G487,2)</f>
        <v>0.03</v>
      </c>
      <c r="J487" s="614"/>
      <c r="K487" s="614">
        <f t="shared" si="120"/>
        <v>0.03</v>
      </c>
      <c r="L487" s="614"/>
      <c r="M487" s="614"/>
      <c r="N487" s="614"/>
      <c r="O487" s="614"/>
      <c r="P487" s="614"/>
    </row>
    <row r="488" spans="1:16" x14ac:dyDescent="0.25">
      <c r="A488" s="611" t="s">
        <v>277</v>
      </c>
      <c r="B488" s="611">
        <v>2436</v>
      </c>
      <c r="C488" s="611"/>
      <c r="D488" s="612" t="s">
        <v>1069</v>
      </c>
      <c r="E488" s="611" t="s">
        <v>229</v>
      </c>
      <c r="F488" s="613">
        <v>0.14000000000000001</v>
      </c>
      <c r="G488" s="614">
        <v>12.57</v>
      </c>
      <c r="H488" s="613"/>
      <c r="I488" s="614"/>
      <c r="J488" s="614">
        <f>ROUND(F488*G488,2)</f>
        <v>1.76</v>
      </c>
      <c r="K488" s="614">
        <f t="shared" si="120"/>
        <v>1.76</v>
      </c>
      <c r="L488" s="614"/>
      <c r="M488" s="614"/>
      <c r="N488" s="614"/>
      <c r="O488" s="614"/>
      <c r="P488" s="614"/>
    </row>
    <row r="489" spans="1:16" x14ac:dyDescent="0.25">
      <c r="A489" s="611" t="s">
        <v>277</v>
      </c>
      <c r="B489" s="611">
        <v>247</v>
      </c>
      <c r="C489" s="611"/>
      <c r="D489" s="612" t="s">
        <v>1070</v>
      </c>
      <c r="E489" s="611" t="s">
        <v>229</v>
      </c>
      <c r="F489" s="613">
        <v>0.14000000000000001</v>
      </c>
      <c r="G489" s="614">
        <v>9.65</v>
      </c>
      <c r="H489" s="613"/>
      <c r="I489" s="614"/>
      <c r="J489" s="614">
        <f>ROUND(F489*G489,2)</f>
        <v>1.35</v>
      </c>
      <c r="K489" s="614">
        <f t="shared" si="120"/>
        <v>1.35</v>
      </c>
      <c r="L489" s="614"/>
      <c r="M489" s="614"/>
      <c r="N489" s="614"/>
      <c r="O489" s="614"/>
      <c r="P489" s="614"/>
    </row>
    <row r="490" spans="1:16" ht="24" x14ac:dyDescent="0.25">
      <c r="A490" s="619"/>
      <c r="B490" s="619"/>
      <c r="C490" s="619" t="s">
        <v>1380</v>
      </c>
      <c r="D490" s="620" t="s">
        <v>1381</v>
      </c>
      <c r="E490" s="619" t="s">
        <v>248</v>
      </c>
      <c r="F490" s="621" t="s">
        <v>1207</v>
      </c>
      <c r="G490" s="622"/>
      <c r="H490" s="621">
        <v>480</v>
      </c>
      <c r="I490" s="622">
        <f>SUM(I491:I494)</f>
        <v>5.7700000000000005</v>
      </c>
      <c r="J490" s="622">
        <f>SUM(J491:J494)</f>
        <v>3.55</v>
      </c>
      <c r="K490" s="622">
        <f t="shared" si="120"/>
        <v>9.32</v>
      </c>
      <c r="L490" s="622">
        <f>H490*I490</f>
        <v>2769.6000000000004</v>
      </c>
      <c r="M490" s="622">
        <f>H490*J490</f>
        <v>1704</v>
      </c>
      <c r="N490" s="622">
        <f>L490+M490</f>
        <v>4473.6000000000004</v>
      </c>
      <c r="O490" s="622">
        <f>N490*$P$4</f>
        <v>1098.7161600000002</v>
      </c>
      <c r="P490" s="622">
        <f>N490+O490</f>
        <v>5572.3161600000003</v>
      </c>
    </row>
    <row r="491" spans="1:16" ht="48" x14ac:dyDescent="0.25">
      <c r="A491" s="611" t="s">
        <v>278</v>
      </c>
      <c r="B491" s="611" t="s">
        <v>1367</v>
      </c>
      <c r="C491" s="611"/>
      <c r="D491" s="612" t="s">
        <v>1382</v>
      </c>
      <c r="E491" s="611" t="s">
        <v>248</v>
      </c>
      <c r="F491" s="613">
        <v>1.02</v>
      </c>
      <c r="G491" s="614">
        <v>5.63</v>
      </c>
      <c r="H491" s="613"/>
      <c r="I491" s="614">
        <f>ROUND(F491*G491,2)</f>
        <v>5.74</v>
      </c>
      <c r="J491" s="614"/>
      <c r="K491" s="614">
        <f t="shared" si="120"/>
        <v>5.74</v>
      </c>
      <c r="L491" s="614"/>
      <c r="M491" s="614"/>
      <c r="N491" s="614"/>
      <c r="O491" s="614"/>
      <c r="P491" s="614"/>
    </row>
    <row r="492" spans="1:16" x14ac:dyDescent="0.25">
      <c r="A492" s="611" t="s">
        <v>277</v>
      </c>
      <c r="B492" s="611">
        <v>404</v>
      </c>
      <c r="C492" s="611"/>
      <c r="D492" s="612" t="s">
        <v>1210</v>
      </c>
      <c r="E492" s="611" t="s">
        <v>248</v>
      </c>
      <c r="F492" s="613">
        <v>0.01</v>
      </c>
      <c r="G492" s="614">
        <v>2.7</v>
      </c>
      <c r="H492" s="613"/>
      <c r="I492" s="614">
        <f>ROUND(F492*G492,2)</f>
        <v>0.03</v>
      </c>
      <c r="J492" s="614"/>
      <c r="K492" s="614">
        <f t="shared" si="120"/>
        <v>0.03</v>
      </c>
      <c r="L492" s="614"/>
      <c r="M492" s="614"/>
      <c r="N492" s="614"/>
      <c r="O492" s="614"/>
      <c r="P492" s="614"/>
    </row>
    <row r="493" spans="1:16" x14ac:dyDescent="0.25">
      <c r="A493" s="611" t="s">
        <v>277</v>
      </c>
      <c r="B493" s="611">
        <v>2436</v>
      </c>
      <c r="C493" s="611"/>
      <c r="D493" s="612" t="s">
        <v>1069</v>
      </c>
      <c r="E493" s="611" t="s">
        <v>229</v>
      </c>
      <c r="F493" s="613">
        <v>0.16</v>
      </c>
      <c r="G493" s="614">
        <v>12.57</v>
      </c>
      <c r="H493" s="613"/>
      <c r="I493" s="614"/>
      <c r="J493" s="614">
        <f>ROUND(F493*G493,2)</f>
        <v>2.0099999999999998</v>
      </c>
      <c r="K493" s="614">
        <f t="shared" si="120"/>
        <v>2.0099999999999998</v>
      </c>
      <c r="L493" s="614"/>
      <c r="M493" s="614"/>
      <c r="N493" s="614"/>
      <c r="O493" s="614"/>
      <c r="P493" s="614"/>
    </row>
    <row r="494" spans="1:16" x14ac:dyDescent="0.25">
      <c r="A494" s="611" t="s">
        <v>277</v>
      </c>
      <c r="B494" s="611">
        <v>247</v>
      </c>
      <c r="C494" s="611"/>
      <c r="D494" s="612" t="s">
        <v>1070</v>
      </c>
      <c r="E494" s="611" t="s">
        <v>229</v>
      </c>
      <c r="F494" s="613">
        <v>0.16</v>
      </c>
      <c r="G494" s="614">
        <v>9.65</v>
      </c>
      <c r="H494" s="613"/>
      <c r="I494" s="614"/>
      <c r="J494" s="614">
        <f>ROUND(F494*G494,2)</f>
        <v>1.54</v>
      </c>
      <c r="K494" s="614">
        <f t="shared" si="120"/>
        <v>1.54</v>
      </c>
      <c r="L494" s="614"/>
      <c r="M494" s="614"/>
      <c r="N494" s="614"/>
      <c r="O494" s="614"/>
      <c r="P494" s="614"/>
    </row>
    <row r="495" spans="1:16" ht="36" x14ac:dyDescent="0.25">
      <c r="A495" s="619"/>
      <c r="B495" s="619"/>
      <c r="C495" s="619" t="s">
        <v>1383</v>
      </c>
      <c r="D495" s="620" t="s">
        <v>1384</v>
      </c>
      <c r="E495" s="619" t="s">
        <v>248</v>
      </c>
      <c r="F495" s="621" t="s">
        <v>1207</v>
      </c>
      <c r="G495" s="622"/>
      <c r="H495" s="621">
        <v>257</v>
      </c>
      <c r="I495" s="622">
        <f>SUM(I496:I499)</f>
        <v>8.67</v>
      </c>
      <c r="J495" s="622">
        <f>SUM(J496:J499)</f>
        <v>3.7800000000000002</v>
      </c>
      <c r="K495" s="622">
        <f>I495+J495</f>
        <v>12.45</v>
      </c>
      <c r="L495" s="622">
        <f>H495*I495</f>
        <v>2228.19</v>
      </c>
      <c r="M495" s="622">
        <f>H495*J495</f>
        <v>971.46</v>
      </c>
      <c r="N495" s="622">
        <f>L495+M495</f>
        <v>3199.65</v>
      </c>
      <c r="O495" s="622">
        <f>N495*$P$4</f>
        <v>785.83404000000007</v>
      </c>
      <c r="P495" s="622">
        <f>N495+O495</f>
        <v>3985.4840400000003</v>
      </c>
    </row>
    <row r="496" spans="1:16" ht="48" x14ac:dyDescent="0.25">
      <c r="A496" s="611" t="s">
        <v>278</v>
      </c>
      <c r="B496" s="611" t="s">
        <v>1371</v>
      </c>
      <c r="C496" s="611"/>
      <c r="D496" s="612" t="s">
        <v>1385</v>
      </c>
      <c r="E496" s="611" t="s">
        <v>248</v>
      </c>
      <c r="F496" s="613">
        <v>1.02</v>
      </c>
      <c r="G496" s="614">
        <v>8.4700000000000006</v>
      </c>
      <c r="H496" s="613"/>
      <c r="I496" s="614">
        <f>ROUND(F496*G496,2)</f>
        <v>8.64</v>
      </c>
      <c r="J496" s="614"/>
      <c r="K496" s="614">
        <f t="shared" si="120"/>
        <v>8.64</v>
      </c>
      <c r="L496" s="614"/>
      <c r="M496" s="614"/>
      <c r="N496" s="614"/>
      <c r="O496" s="614"/>
      <c r="P496" s="614"/>
    </row>
    <row r="497" spans="1:16" x14ac:dyDescent="0.25">
      <c r="A497" s="611" t="s">
        <v>277</v>
      </c>
      <c r="B497" s="611">
        <v>404</v>
      </c>
      <c r="C497" s="611"/>
      <c r="D497" s="612" t="s">
        <v>1210</v>
      </c>
      <c r="E497" s="611" t="s">
        <v>248</v>
      </c>
      <c r="F497" s="613">
        <v>0.01</v>
      </c>
      <c r="G497" s="614">
        <v>2.7</v>
      </c>
      <c r="H497" s="613"/>
      <c r="I497" s="614">
        <f>ROUND(F497*G497,2)</f>
        <v>0.03</v>
      </c>
      <c r="J497" s="614"/>
      <c r="K497" s="614">
        <f t="shared" si="120"/>
        <v>0.03</v>
      </c>
      <c r="L497" s="614"/>
      <c r="M497" s="614"/>
      <c r="N497" s="614"/>
      <c r="O497" s="614"/>
      <c r="P497" s="614"/>
    </row>
    <row r="498" spans="1:16" x14ac:dyDescent="0.25">
      <c r="A498" s="611" t="s">
        <v>277</v>
      </c>
      <c r="B498" s="611">
        <v>2436</v>
      </c>
      <c r="C498" s="611"/>
      <c r="D498" s="612" t="s">
        <v>1069</v>
      </c>
      <c r="E498" s="611" t="s">
        <v>229</v>
      </c>
      <c r="F498" s="613">
        <v>0.17</v>
      </c>
      <c r="G498" s="614">
        <v>12.57</v>
      </c>
      <c r="H498" s="613"/>
      <c r="I498" s="614"/>
      <c r="J498" s="614">
        <f>ROUND(F498*G498,2)</f>
        <v>2.14</v>
      </c>
      <c r="K498" s="614">
        <f t="shared" si="120"/>
        <v>2.14</v>
      </c>
      <c r="L498" s="614"/>
      <c r="M498" s="614"/>
      <c r="N498" s="614"/>
      <c r="O498" s="614"/>
      <c r="P498" s="614"/>
    </row>
    <row r="499" spans="1:16" x14ac:dyDescent="0.25">
      <c r="A499" s="611" t="s">
        <v>277</v>
      </c>
      <c r="B499" s="611">
        <v>247</v>
      </c>
      <c r="C499" s="611"/>
      <c r="D499" s="612" t="s">
        <v>1070</v>
      </c>
      <c r="E499" s="611" t="s">
        <v>229</v>
      </c>
      <c r="F499" s="613">
        <v>0.17</v>
      </c>
      <c r="G499" s="614">
        <v>9.65</v>
      </c>
      <c r="H499" s="613"/>
      <c r="I499" s="614"/>
      <c r="J499" s="614">
        <f>ROUND(F499*G499,2)</f>
        <v>1.64</v>
      </c>
      <c r="K499" s="614">
        <f t="shared" si="120"/>
        <v>1.64</v>
      </c>
      <c r="L499" s="614"/>
      <c r="M499" s="614"/>
      <c r="N499" s="614"/>
      <c r="O499" s="614"/>
      <c r="P499" s="614"/>
    </row>
    <row r="500" spans="1:16" ht="24" x14ac:dyDescent="0.25">
      <c r="A500" s="619"/>
      <c r="B500" s="619"/>
      <c r="C500" s="619" t="s">
        <v>1386</v>
      </c>
      <c r="D500" s="620" t="s">
        <v>1387</v>
      </c>
      <c r="E500" s="619" t="s">
        <v>248</v>
      </c>
      <c r="F500" s="621" t="s">
        <v>1207</v>
      </c>
      <c r="G500" s="622"/>
      <c r="H500" s="621">
        <f>812+8</f>
        <v>820</v>
      </c>
      <c r="I500" s="622">
        <f>SUM(I501:I504)</f>
        <v>11.879999999999999</v>
      </c>
      <c r="J500" s="622">
        <f>SUM(J501:J504)</f>
        <v>4.67</v>
      </c>
      <c r="K500" s="622">
        <f>I500+J500</f>
        <v>16.549999999999997</v>
      </c>
      <c r="L500" s="622">
        <f>H500*I500</f>
        <v>9741.5999999999985</v>
      </c>
      <c r="M500" s="622">
        <f>H500*J500</f>
        <v>3829.4</v>
      </c>
      <c r="N500" s="622">
        <f>L500+M500</f>
        <v>13570.999999999998</v>
      </c>
      <c r="O500" s="622">
        <f>N500*$P$4</f>
        <v>3333.0375999999997</v>
      </c>
      <c r="P500" s="622">
        <f>N500+O500</f>
        <v>16904.037599999996</v>
      </c>
    </row>
    <row r="501" spans="1:16" ht="48" x14ac:dyDescent="0.25">
      <c r="A501" s="611" t="s">
        <v>278</v>
      </c>
      <c r="B501" s="611" t="s">
        <v>1388</v>
      </c>
      <c r="C501" s="611"/>
      <c r="D501" s="612" t="s">
        <v>1385</v>
      </c>
      <c r="E501" s="611" t="s">
        <v>248</v>
      </c>
      <c r="F501" s="613">
        <v>1.02</v>
      </c>
      <c r="G501" s="614">
        <v>11.62</v>
      </c>
      <c r="H501" s="613"/>
      <c r="I501" s="614">
        <f>ROUND(F501*G501,2)</f>
        <v>11.85</v>
      </c>
      <c r="J501" s="614"/>
      <c r="K501" s="614">
        <f t="shared" si="120"/>
        <v>11.85</v>
      </c>
      <c r="L501" s="614"/>
      <c r="M501" s="614"/>
      <c r="N501" s="614"/>
      <c r="O501" s="614"/>
      <c r="P501" s="614"/>
    </row>
    <row r="502" spans="1:16" x14ac:dyDescent="0.25">
      <c r="A502" s="611" t="s">
        <v>277</v>
      </c>
      <c r="B502" s="611">
        <v>404</v>
      </c>
      <c r="C502" s="611"/>
      <c r="D502" s="612" t="s">
        <v>1210</v>
      </c>
      <c r="E502" s="611" t="s">
        <v>248</v>
      </c>
      <c r="F502" s="613">
        <v>0.01</v>
      </c>
      <c r="G502" s="614">
        <v>2.7</v>
      </c>
      <c r="H502" s="613"/>
      <c r="I502" s="614">
        <f>ROUND(F502*G502,2)</f>
        <v>0.03</v>
      </c>
      <c r="J502" s="614"/>
      <c r="K502" s="614">
        <f t="shared" si="120"/>
        <v>0.03</v>
      </c>
      <c r="L502" s="614"/>
      <c r="M502" s="614"/>
      <c r="N502" s="614"/>
      <c r="O502" s="614"/>
      <c r="P502" s="614"/>
    </row>
    <row r="503" spans="1:16" x14ac:dyDescent="0.25">
      <c r="A503" s="611" t="s">
        <v>277</v>
      </c>
      <c r="B503" s="611">
        <v>2436</v>
      </c>
      <c r="C503" s="611"/>
      <c r="D503" s="612" t="s">
        <v>1069</v>
      </c>
      <c r="E503" s="611" t="s">
        <v>229</v>
      </c>
      <c r="F503" s="613">
        <v>0.21</v>
      </c>
      <c r="G503" s="614">
        <v>12.57</v>
      </c>
      <c r="H503" s="613"/>
      <c r="I503" s="614"/>
      <c r="J503" s="614">
        <f>ROUND(F503*G503,2)</f>
        <v>2.64</v>
      </c>
      <c r="K503" s="614">
        <f t="shared" si="120"/>
        <v>2.64</v>
      </c>
      <c r="L503" s="614"/>
      <c r="M503" s="614"/>
      <c r="N503" s="614"/>
      <c r="O503" s="614"/>
      <c r="P503" s="614"/>
    </row>
    <row r="504" spans="1:16" x14ac:dyDescent="0.25">
      <c r="A504" s="611" t="s">
        <v>277</v>
      </c>
      <c r="B504" s="611">
        <v>247</v>
      </c>
      <c r="C504" s="611"/>
      <c r="D504" s="612" t="s">
        <v>1070</v>
      </c>
      <c r="E504" s="611" t="s">
        <v>229</v>
      </c>
      <c r="F504" s="613">
        <v>0.21</v>
      </c>
      <c r="G504" s="614">
        <v>9.65</v>
      </c>
      <c r="H504" s="613"/>
      <c r="I504" s="614"/>
      <c r="J504" s="614">
        <f>ROUND(F504*G504,2)</f>
        <v>2.0299999999999998</v>
      </c>
      <c r="K504" s="614">
        <f t="shared" si="120"/>
        <v>2.0299999999999998</v>
      </c>
      <c r="L504" s="614"/>
      <c r="M504" s="614"/>
      <c r="N504" s="614"/>
      <c r="O504" s="614"/>
      <c r="P504" s="614"/>
    </row>
    <row r="505" spans="1:16" ht="24" x14ac:dyDescent="0.25">
      <c r="A505" s="619"/>
      <c r="B505" s="619"/>
      <c r="C505" s="619" t="s">
        <v>1389</v>
      </c>
      <c r="D505" s="620" t="s">
        <v>1206</v>
      </c>
      <c r="E505" s="619" t="s">
        <v>248</v>
      </c>
      <c r="F505" s="621" t="s">
        <v>1207</v>
      </c>
      <c r="G505" s="622"/>
      <c r="H505" s="621">
        <v>176</v>
      </c>
      <c r="I505" s="622">
        <f>SUM(I506:I509)</f>
        <v>16.790000000000003</v>
      </c>
      <c r="J505" s="622">
        <f>SUM(J506:J509)</f>
        <v>6.8900000000000006</v>
      </c>
      <c r="K505" s="622">
        <f>I505+J505</f>
        <v>23.680000000000003</v>
      </c>
      <c r="L505" s="622">
        <f>H505*I505</f>
        <v>2955.0400000000004</v>
      </c>
      <c r="M505" s="622">
        <f>H505*J505</f>
        <v>1212.6400000000001</v>
      </c>
      <c r="N505" s="622">
        <f>L505+M505</f>
        <v>4167.68</v>
      </c>
      <c r="O505" s="622">
        <f>N505*$P$4</f>
        <v>1023.5822080000002</v>
      </c>
      <c r="P505" s="622">
        <f>N505+O505</f>
        <v>5191.2622080000001</v>
      </c>
    </row>
    <row r="506" spans="1:16" ht="48" x14ac:dyDescent="0.25">
      <c r="A506" s="611" t="s">
        <v>278</v>
      </c>
      <c r="B506" s="611" t="s">
        <v>1208</v>
      </c>
      <c r="C506" s="611"/>
      <c r="D506" s="612" t="s">
        <v>1209</v>
      </c>
      <c r="E506" s="611" t="s">
        <v>248</v>
      </c>
      <c r="F506" s="613">
        <v>1.02</v>
      </c>
      <c r="G506" s="614">
        <v>16.43</v>
      </c>
      <c r="H506" s="613"/>
      <c r="I506" s="614">
        <f>ROUND(F506*G506,2)</f>
        <v>16.760000000000002</v>
      </c>
      <c r="J506" s="614"/>
      <c r="K506" s="614">
        <f t="shared" si="120"/>
        <v>16.760000000000002</v>
      </c>
      <c r="L506" s="614"/>
      <c r="M506" s="614"/>
      <c r="N506" s="614"/>
      <c r="O506" s="614"/>
      <c r="P506" s="614"/>
    </row>
    <row r="507" spans="1:16" x14ac:dyDescent="0.25">
      <c r="A507" s="611" t="s">
        <v>277</v>
      </c>
      <c r="B507" s="611">
        <v>404</v>
      </c>
      <c r="C507" s="611"/>
      <c r="D507" s="612" t="s">
        <v>1210</v>
      </c>
      <c r="E507" s="611" t="s">
        <v>248</v>
      </c>
      <c r="F507" s="613">
        <v>0.01</v>
      </c>
      <c r="G507" s="614">
        <v>2.7</v>
      </c>
      <c r="H507" s="613"/>
      <c r="I507" s="614">
        <f>ROUND(F507*G507,2)</f>
        <v>0.03</v>
      </c>
      <c r="J507" s="614"/>
      <c r="K507" s="614">
        <f t="shared" si="120"/>
        <v>0.03</v>
      </c>
      <c r="L507" s="614"/>
      <c r="M507" s="614"/>
      <c r="N507" s="614"/>
      <c r="O507" s="614"/>
      <c r="P507" s="614"/>
    </row>
    <row r="508" spans="1:16" x14ac:dyDescent="0.25">
      <c r="A508" s="611" t="s">
        <v>277</v>
      </c>
      <c r="B508" s="611">
        <v>2436</v>
      </c>
      <c r="C508" s="611"/>
      <c r="D508" s="612" t="s">
        <v>1069</v>
      </c>
      <c r="E508" s="611" t="s">
        <v>229</v>
      </c>
      <c r="F508" s="613">
        <v>0.31</v>
      </c>
      <c r="G508" s="614">
        <v>12.57</v>
      </c>
      <c r="H508" s="613"/>
      <c r="I508" s="614"/>
      <c r="J508" s="614">
        <f>ROUND(F508*G508,2)</f>
        <v>3.9</v>
      </c>
      <c r="K508" s="614">
        <f t="shared" si="120"/>
        <v>3.9</v>
      </c>
      <c r="L508" s="614"/>
      <c r="M508" s="614"/>
      <c r="N508" s="614"/>
      <c r="O508" s="614"/>
      <c r="P508" s="614"/>
    </row>
    <row r="509" spans="1:16" x14ac:dyDescent="0.25">
      <c r="A509" s="611" t="s">
        <v>277</v>
      </c>
      <c r="B509" s="611">
        <v>247</v>
      </c>
      <c r="C509" s="611"/>
      <c r="D509" s="612" t="s">
        <v>1070</v>
      </c>
      <c r="E509" s="611" t="s">
        <v>229</v>
      </c>
      <c r="F509" s="613">
        <v>0.31</v>
      </c>
      <c r="G509" s="614">
        <v>9.65</v>
      </c>
      <c r="H509" s="613"/>
      <c r="I509" s="614"/>
      <c r="J509" s="614">
        <f>ROUND(F509*G509,2)</f>
        <v>2.99</v>
      </c>
      <c r="K509" s="614">
        <f t="shared" si="120"/>
        <v>2.99</v>
      </c>
      <c r="L509" s="614"/>
      <c r="M509" s="614"/>
      <c r="N509" s="614"/>
      <c r="O509" s="614"/>
      <c r="P509" s="614"/>
    </row>
    <row r="510" spans="1:16" ht="24" x14ac:dyDescent="0.25">
      <c r="A510" s="619"/>
      <c r="B510" s="619"/>
      <c r="C510" s="619" t="s">
        <v>1390</v>
      </c>
      <c r="D510" s="620" t="s">
        <v>1212</v>
      </c>
      <c r="E510" s="619" t="s">
        <v>248</v>
      </c>
      <c r="F510" s="621" t="s">
        <v>1207</v>
      </c>
      <c r="G510" s="622"/>
      <c r="H510" s="621">
        <v>122</v>
      </c>
      <c r="I510" s="622">
        <f>SUM(I511:I514)</f>
        <v>33.340000000000003</v>
      </c>
      <c r="J510" s="622">
        <f>SUM(J511:J514)</f>
        <v>8</v>
      </c>
      <c r="K510" s="622">
        <f>I510+J510</f>
        <v>41.34</v>
      </c>
      <c r="L510" s="622">
        <f>H510*I510</f>
        <v>4067.4800000000005</v>
      </c>
      <c r="M510" s="622">
        <f>H510*J510</f>
        <v>976</v>
      </c>
      <c r="N510" s="622">
        <f>L510+M510</f>
        <v>5043.4800000000005</v>
      </c>
      <c r="O510" s="622">
        <f>N510*$P$4</f>
        <v>1238.6786880000002</v>
      </c>
      <c r="P510" s="622">
        <f>N510+O510</f>
        <v>6282.1586880000004</v>
      </c>
    </row>
    <row r="511" spans="1:16" ht="48" x14ac:dyDescent="0.25">
      <c r="A511" s="611" t="s">
        <v>278</v>
      </c>
      <c r="B511" s="611" t="s">
        <v>1213</v>
      </c>
      <c r="C511" s="611"/>
      <c r="D511" s="612" t="s">
        <v>1214</v>
      </c>
      <c r="E511" s="611" t="s">
        <v>248</v>
      </c>
      <c r="F511" s="613">
        <v>1.02</v>
      </c>
      <c r="G511" s="614">
        <v>32.659999999999997</v>
      </c>
      <c r="H511" s="613"/>
      <c r="I511" s="614">
        <f>ROUND(F511*G511,2)</f>
        <v>33.31</v>
      </c>
      <c r="J511" s="614"/>
      <c r="K511" s="614">
        <f t="shared" si="120"/>
        <v>33.31</v>
      </c>
      <c r="L511" s="614"/>
      <c r="M511" s="614"/>
      <c r="N511" s="614"/>
      <c r="O511" s="614"/>
      <c r="P511" s="614"/>
    </row>
    <row r="512" spans="1:16" x14ac:dyDescent="0.25">
      <c r="A512" s="611" t="s">
        <v>277</v>
      </c>
      <c r="B512" s="611">
        <v>404</v>
      </c>
      <c r="C512" s="611"/>
      <c r="D512" s="612" t="s">
        <v>1210</v>
      </c>
      <c r="E512" s="611" t="s">
        <v>248</v>
      </c>
      <c r="F512" s="613">
        <v>0.01</v>
      </c>
      <c r="G512" s="614">
        <v>2.7</v>
      </c>
      <c r="H512" s="613"/>
      <c r="I512" s="614">
        <f>ROUND(F512*G512,2)</f>
        <v>0.03</v>
      </c>
      <c r="J512" s="614"/>
      <c r="K512" s="614">
        <f t="shared" si="120"/>
        <v>0.03</v>
      </c>
      <c r="L512" s="614"/>
      <c r="M512" s="614"/>
      <c r="N512" s="614"/>
      <c r="O512" s="614"/>
      <c r="P512" s="614"/>
    </row>
    <row r="513" spans="1:16" x14ac:dyDescent="0.25">
      <c r="A513" s="611" t="s">
        <v>277</v>
      </c>
      <c r="B513" s="611">
        <v>2436</v>
      </c>
      <c r="C513" s="611"/>
      <c r="D513" s="612" t="s">
        <v>1069</v>
      </c>
      <c r="E513" s="611" t="s">
        <v>229</v>
      </c>
      <c r="F513" s="613">
        <v>0.36</v>
      </c>
      <c r="G513" s="614">
        <v>12.57</v>
      </c>
      <c r="H513" s="613"/>
      <c r="I513" s="614"/>
      <c r="J513" s="614">
        <f>ROUND(F513*G513,2)</f>
        <v>4.53</v>
      </c>
      <c r="K513" s="614">
        <f t="shared" si="120"/>
        <v>4.53</v>
      </c>
      <c r="L513" s="614"/>
      <c r="M513" s="614"/>
      <c r="N513" s="614"/>
      <c r="O513" s="614"/>
      <c r="P513" s="614"/>
    </row>
    <row r="514" spans="1:16" x14ac:dyDescent="0.25">
      <c r="A514" s="611" t="s">
        <v>277</v>
      </c>
      <c r="B514" s="611">
        <v>247</v>
      </c>
      <c r="C514" s="611"/>
      <c r="D514" s="612" t="s">
        <v>1070</v>
      </c>
      <c r="E514" s="611" t="s">
        <v>229</v>
      </c>
      <c r="F514" s="613">
        <v>0.36</v>
      </c>
      <c r="G514" s="614">
        <v>9.65</v>
      </c>
      <c r="H514" s="613"/>
      <c r="I514" s="614"/>
      <c r="J514" s="614">
        <f>ROUND(F514*G514,2)</f>
        <v>3.47</v>
      </c>
      <c r="K514" s="614">
        <f t="shared" si="120"/>
        <v>3.47</v>
      </c>
      <c r="L514" s="614"/>
      <c r="M514" s="614"/>
      <c r="N514" s="614"/>
      <c r="O514" s="614"/>
      <c r="P514" s="614"/>
    </row>
    <row r="515" spans="1:16" x14ac:dyDescent="0.25">
      <c r="A515" s="611"/>
      <c r="B515" s="611"/>
      <c r="C515" s="611"/>
      <c r="D515" s="612"/>
      <c r="E515" s="611"/>
      <c r="F515" s="613"/>
      <c r="G515" s="614"/>
      <c r="H515" s="613"/>
      <c r="I515" s="614"/>
      <c r="J515" s="614"/>
      <c r="K515" s="614"/>
      <c r="L515" s="614"/>
      <c r="M515" s="614"/>
      <c r="N515" s="614"/>
      <c r="O515" s="614"/>
      <c r="P515" s="614"/>
    </row>
    <row r="516" spans="1:16" s="618" customFormat="1" x14ac:dyDescent="0.25">
      <c r="A516" s="615"/>
      <c r="B516" s="615"/>
      <c r="C516" s="615" t="s">
        <v>1391</v>
      </c>
      <c r="D516" s="628" t="s">
        <v>1392</v>
      </c>
      <c r="E516" s="615"/>
      <c r="F516" s="616"/>
      <c r="G516" s="617"/>
      <c r="H516" s="616"/>
      <c r="I516" s="617"/>
      <c r="J516" s="617"/>
      <c r="K516" s="617"/>
      <c r="L516" s="617"/>
      <c r="M516" s="617"/>
      <c r="N516" s="617"/>
      <c r="O516" s="617"/>
      <c r="P516" s="617">
        <f>SUM(P520:P595)</f>
        <v>12338.116415999997</v>
      </c>
    </row>
    <row r="517" spans="1:16" x14ac:dyDescent="0.25">
      <c r="A517" s="611"/>
      <c r="B517" s="611"/>
      <c r="C517" s="611"/>
      <c r="D517" s="612"/>
      <c r="E517" s="611"/>
      <c r="F517" s="613"/>
      <c r="G517" s="614"/>
      <c r="H517" s="613"/>
      <c r="I517" s="614"/>
      <c r="J517" s="614"/>
      <c r="K517" s="614"/>
      <c r="L517" s="614"/>
      <c r="M517" s="614"/>
      <c r="N517" s="614"/>
      <c r="O517" s="614"/>
      <c r="P517" s="614"/>
    </row>
    <row r="518" spans="1:16" x14ac:dyDescent="0.25">
      <c r="A518" s="611"/>
      <c r="B518" s="611"/>
      <c r="C518" s="611"/>
      <c r="D518" s="629" t="s">
        <v>1393</v>
      </c>
      <c r="E518" s="611"/>
      <c r="F518" s="613"/>
      <c r="G518" s="614"/>
      <c r="H518" s="613"/>
      <c r="I518" s="614"/>
      <c r="J518" s="614"/>
      <c r="K518" s="614"/>
      <c r="L518" s="614"/>
      <c r="M518" s="614"/>
      <c r="N518" s="614"/>
      <c r="O518" s="614"/>
      <c r="P518" s="614"/>
    </row>
    <row r="519" spans="1:16" x14ac:dyDescent="0.25">
      <c r="A519" s="611"/>
      <c r="B519" s="611"/>
      <c r="C519" s="611"/>
      <c r="D519" s="612"/>
      <c r="E519" s="611"/>
      <c r="F519" s="613"/>
      <c r="G519" s="614"/>
      <c r="H519" s="613"/>
      <c r="I519" s="614"/>
      <c r="J519" s="614"/>
      <c r="K519" s="614"/>
      <c r="L519" s="614"/>
      <c r="M519" s="614"/>
      <c r="N519" s="614"/>
      <c r="O519" s="614"/>
      <c r="P519" s="614"/>
    </row>
    <row r="520" spans="1:16" x14ac:dyDescent="0.25">
      <c r="A520" s="619"/>
      <c r="B520" s="619"/>
      <c r="C520" s="619" t="s">
        <v>1394</v>
      </c>
      <c r="D520" s="620" t="s">
        <v>1395</v>
      </c>
      <c r="E520" s="619" t="s">
        <v>251</v>
      </c>
      <c r="F520" s="621"/>
      <c r="G520" s="622"/>
      <c r="H520" s="621">
        <v>8</v>
      </c>
      <c r="I520" s="622">
        <f>SUM(I521:I523)</f>
        <v>6.55</v>
      </c>
      <c r="J520" s="622">
        <f>SUM(J521:J523)</f>
        <v>4.67</v>
      </c>
      <c r="K520" s="622">
        <f>I520+J520</f>
        <v>11.219999999999999</v>
      </c>
      <c r="L520" s="622">
        <f>H520*I520</f>
        <v>52.4</v>
      </c>
      <c r="M520" s="622">
        <f>H520*J520</f>
        <v>37.36</v>
      </c>
      <c r="N520" s="622">
        <f>L520+M520</f>
        <v>89.759999999999991</v>
      </c>
      <c r="O520" s="622">
        <f>N520*$P$4</f>
        <v>22.045055999999999</v>
      </c>
      <c r="P520" s="622">
        <f>N520+O520</f>
        <v>111.80505599999999</v>
      </c>
    </row>
    <row r="521" spans="1:16" ht="48" x14ac:dyDescent="0.25">
      <c r="A521" s="611" t="s">
        <v>1108</v>
      </c>
      <c r="B521" s="611" t="s">
        <v>1396</v>
      </c>
      <c r="C521" s="611"/>
      <c r="D521" s="612" t="s">
        <v>1397</v>
      </c>
      <c r="E521" s="611" t="s">
        <v>251</v>
      </c>
      <c r="F521" s="613">
        <v>1</v>
      </c>
      <c r="G521" s="614">
        <v>6.55</v>
      </c>
      <c r="H521" s="613"/>
      <c r="I521" s="614">
        <f>ROUND(F521*G521,2)</f>
        <v>6.55</v>
      </c>
      <c r="J521" s="614"/>
      <c r="K521" s="614">
        <f t="shared" ref="K521:K535" si="121">I521+J521</f>
        <v>6.55</v>
      </c>
      <c r="L521" s="614"/>
      <c r="M521" s="614"/>
      <c r="N521" s="614"/>
      <c r="O521" s="614"/>
      <c r="P521" s="614"/>
    </row>
    <row r="522" spans="1:16" x14ac:dyDescent="0.25">
      <c r="A522" s="611" t="s">
        <v>277</v>
      </c>
      <c r="B522" s="611">
        <v>2436</v>
      </c>
      <c r="C522" s="611"/>
      <c r="D522" s="612" t="s">
        <v>1069</v>
      </c>
      <c r="E522" s="611" t="s">
        <v>229</v>
      </c>
      <c r="F522" s="613">
        <v>0.21</v>
      </c>
      <c r="G522" s="614">
        <v>12.57</v>
      </c>
      <c r="H522" s="613"/>
      <c r="I522" s="614"/>
      <c r="J522" s="614">
        <f>ROUND(F522*G522,2)</f>
        <v>2.64</v>
      </c>
      <c r="K522" s="614">
        <f t="shared" si="121"/>
        <v>2.64</v>
      </c>
      <c r="L522" s="614"/>
      <c r="M522" s="614"/>
      <c r="N522" s="614"/>
      <c r="O522" s="614"/>
      <c r="P522" s="614"/>
    </row>
    <row r="523" spans="1:16" x14ac:dyDescent="0.25">
      <c r="A523" s="611" t="s">
        <v>277</v>
      </c>
      <c r="B523" s="611">
        <v>247</v>
      </c>
      <c r="C523" s="611"/>
      <c r="D523" s="612" t="s">
        <v>1070</v>
      </c>
      <c r="E523" s="611" t="s">
        <v>229</v>
      </c>
      <c r="F523" s="613">
        <v>0.21</v>
      </c>
      <c r="G523" s="614">
        <v>9.65</v>
      </c>
      <c r="H523" s="613"/>
      <c r="I523" s="614"/>
      <c r="J523" s="614">
        <f>ROUND(F523*G523,2)</f>
        <v>2.0299999999999998</v>
      </c>
      <c r="K523" s="614">
        <f t="shared" si="121"/>
        <v>2.0299999999999998</v>
      </c>
      <c r="L523" s="614"/>
      <c r="M523" s="614"/>
      <c r="N523" s="614"/>
      <c r="O523" s="614"/>
      <c r="P523" s="614"/>
    </row>
    <row r="524" spans="1:16" x14ac:dyDescent="0.25">
      <c r="A524" s="619"/>
      <c r="B524" s="619"/>
      <c r="C524" s="619" t="s">
        <v>1398</v>
      </c>
      <c r="D524" s="620" t="s">
        <v>1399</v>
      </c>
      <c r="E524" s="619" t="s">
        <v>251</v>
      </c>
      <c r="F524" s="621"/>
      <c r="G524" s="622"/>
      <c r="H524" s="621">
        <v>11</v>
      </c>
      <c r="I524" s="622">
        <f>SUM(I525:I527)</f>
        <v>11.94</v>
      </c>
      <c r="J524" s="622">
        <f>SUM(J525:J527)</f>
        <v>8.2200000000000006</v>
      </c>
      <c r="K524" s="622">
        <f>I524+J524</f>
        <v>20.16</v>
      </c>
      <c r="L524" s="622">
        <f>H524*I524</f>
        <v>131.34</v>
      </c>
      <c r="M524" s="622">
        <f>H524*J524</f>
        <v>90.42</v>
      </c>
      <c r="N524" s="622">
        <f>L524+M524</f>
        <v>221.76</v>
      </c>
      <c r="O524" s="622">
        <f>N524*$P$4</f>
        <v>54.464255999999999</v>
      </c>
      <c r="P524" s="622">
        <f>N524+O524</f>
        <v>276.22425599999997</v>
      </c>
    </row>
    <row r="525" spans="1:16" ht="36" x14ac:dyDescent="0.25">
      <c r="A525" s="611" t="s">
        <v>1108</v>
      </c>
      <c r="B525" s="611" t="s">
        <v>1396</v>
      </c>
      <c r="C525" s="611"/>
      <c r="D525" s="612" t="s">
        <v>1400</v>
      </c>
      <c r="E525" s="611" t="s">
        <v>251</v>
      </c>
      <c r="F525" s="613">
        <v>1</v>
      </c>
      <c r="G525" s="614">
        <f>3.04+2*4.45</f>
        <v>11.940000000000001</v>
      </c>
      <c r="H525" s="613"/>
      <c r="I525" s="614">
        <f>ROUND(F525*G525,2)</f>
        <v>11.94</v>
      </c>
      <c r="J525" s="614"/>
      <c r="K525" s="614">
        <f t="shared" si="121"/>
        <v>11.94</v>
      </c>
      <c r="L525" s="614"/>
      <c r="M525" s="614"/>
      <c r="N525" s="614"/>
      <c r="O525" s="614"/>
      <c r="P525" s="614"/>
    </row>
    <row r="526" spans="1:16" x14ac:dyDescent="0.25">
      <c r="A526" s="611" t="s">
        <v>277</v>
      </c>
      <c r="B526" s="611">
        <v>2436</v>
      </c>
      <c r="C526" s="611"/>
      <c r="D526" s="612" t="s">
        <v>1069</v>
      </c>
      <c r="E526" s="611" t="s">
        <v>229</v>
      </c>
      <c r="F526" s="613">
        <v>0.37</v>
      </c>
      <c r="G526" s="614">
        <v>12.57</v>
      </c>
      <c r="H526" s="613"/>
      <c r="I526" s="614"/>
      <c r="J526" s="614">
        <f>ROUND(F526*G526,2)</f>
        <v>4.6500000000000004</v>
      </c>
      <c r="K526" s="614">
        <f t="shared" si="121"/>
        <v>4.6500000000000004</v>
      </c>
      <c r="L526" s="614"/>
      <c r="M526" s="614"/>
      <c r="N526" s="614"/>
      <c r="O526" s="614"/>
      <c r="P526" s="614"/>
    </row>
    <row r="527" spans="1:16" x14ac:dyDescent="0.25">
      <c r="A527" s="611" t="s">
        <v>277</v>
      </c>
      <c r="B527" s="611">
        <v>247</v>
      </c>
      <c r="C527" s="611"/>
      <c r="D527" s="612" t="s">
        <v>1070</v>
      </c>
      <c r="E527" s="611" t="s">
        <v>229</v>
      </c>
      <c r="F527" s="613">
        <v>0.37</v>
      </c>
      <c r="G527" s="614">
        <v>9.65</v>
      </c>
      <c r="H527" s="613"/>
      <c r="I527" s="614"/>
      <c r="J527" s="614">
        <f>ROUND(F527*G527,2)</f>
        <v>3.57</v>
      </c>
      <c r="K527" s="614">
        <f t="shared" si="121"/>
        <v>3.57</v>
      </c>
      <c r="L527" s="614"/>
      <c r="M527" s="614"/>
      <c r="N527" s="614"/>
      <c r="O527" s="614"/>
      <c r="P527" s="614"/>
    </row>
    <row r="528" spans="1:16" x14ac:dyDescent="0.25">
      <c r="A528" s="619"/>
      <c r="B528" s="619"/>
      <c r="C528" s="619" t="s">
        <v>1401</v>
      </c>
      <c r="D528" s="620" t="s">
        <v>1402</v>
      </c>
      <c r="E528" s="619" t="s">
        <v>251</v>
      </c>
      <c r="F528" s="621"/>
      <c r="G528" s="622"/>
      <c r="H528" s="621">
        <v>12</v>
      </c>
      <c r="I528" s="622">
        <f>SUM(I529:I531)</f>
        <v>8.86</v>
      </c>
      <c r="J528" s="622">
        <f>SUM(J529:J531)</f>
        <v>6.4499999999999993</v>
      </c>
      <c r="K528" s="622">
        <f>I528+J528</f>
        <v>15.309999999999999</v>
      </c>
      <c r="L528" s="622">
        <f>H528*I528</f>
        <v>106.32</v>
      </c>
      <c r="M528" s="622">
        <f>H528*J528</f>
        <v>77.399999999999991</v>
      </c>
      <c r="N528" s="622">
        <f>L528+M528</f>
        <v>183.71999999999997</v>
      </c>
      <c r="O528" s="622">
        <f>N528*$P$4</f>
        <v>45.121631999999998</v>
      </c>
      <c r="P528" s="622">
        <f>N528+O528</f>
        <v>228.84163199999998</v>
      </c>
    </row>
    <row r="529" spans="1:16" ht="48" x14ac:dyDescent="0.25">
      <c r="A529" s="611" t="s">
        <v>1108</v>
      </c>
      <c r="B529" s="611" t="s">
        <v>1396</v>
      </c>
      <c r="C529" s="611"/>
      <c r="D529" s="612" t="s">
        <v>1403</v>
      </c>
      <c r="E529" s="611" t="s">
        <v>251</v>
      </c>
      <c r="F529" s="613">
        <v>1</v>
      </c>
      <c r="G529" s="614">
        <f>3.04+5.82</f>
        <v>8.86</v>
      </c>
      <c r="H529" s="613"/>
      <c r="I529" s="614">
        <f>ROUND(F529*G529,2)</f>
        <v>8.86</v>
      </c>
      <c r="J529" s="614"/>
      <c r="K529" s="614">
        <f t="shared" si="121"/>
        <v>8.86</v>
      </c>
      <c r="L529" s="614"/>
      <c r="M529" s="614"/>
      <c r="N529" s="614"/>
      <c r="O529" s="614"/>
      <c r="P529" s="614"/>
    </row>
    <row r="530" spans="1:16" x14ac:dyDescent="0.25">
      <c r="A530" s="611" t="s">
        <v>277</v>
      </c>
      <c r="B530" s="611">
        <v>2436</v>
      </c>
      <c r="C530" s="611"/>
      <c r="D530" s="612" t="s">
        <v>1069</v>
      </c>
      <c r="E530" s="611" t="s">
        <v>229</v>
      </c>
      <c r="F530" s="613">
        <v>0.28999999999999998</v>
      </c>
      <c r="G530" s="614">
        <v>12.57</v>
      </c>
      <c r="H530" s="613"/>
      <c r="I530" s="614"/>
      <c r="J530" s="614">
        <f>ROUND(F530*G530,2)</f>
        <v>3.65</v>
      </c>
      <c r="K530" s="614">
        <f t="shared" si="121"/>
        <v>3.65</v>
      </c>
      <c r="L530" s="614"/>
      <c r="M530" s="614"/>
      <c r="N530" s="614"/>
      <c r="O530" s="614"/>
      <c r="P530" s="614"/>
    </row>
    <row r="531" spans="1:16" x14ac:dyDescent="0.25">
      <c r="A531" s="611" t="s">
        <v>277</v>
      </c>
      <c r="B531" s="611">
        <v>247</v>
      </c>
      <c r="C531" s="611"/>
      <c r="D531" s="612" t="s">
        <v>1070</v>
      </c>
      <c r="E531" s="611" t="s">
        <v>229</v>
      </c>
      <c r="F531" s="613">
        <v>0.28999999999999998</v>
      </c>
      <c r="G531" s="614">
        <v>9.65</v>
      </c>
      <c r="H531" s="613"/>
      <c r="I531" s="614"/>
      <c r="J531" s="614">
        <f>ROUND(F531*G531,2)</f>
        <v>2.8</v>
      </c>
      <c r="K531" s="614">
        <f t="shared" si="121"/>
        <v>2.8</v>
      </c>
      <c r="L531" s="614"/>
      <c r="M531" s="614"/>
      <c r="N531" s="614"/>
      <c r="O531" s="614"/>
      <c r="P531" s="614"/>
    </row>
    <row r="532" spans="1:16" x14ac:dyDescent="0.25">
      <c r="A532" s="619"/>
      <c r="B532" s="619"/>
      <c r="C532" s="619" t="s">
        <v>1404</v>
      </c>
      <c r="D532" s="620" t="s">
        <v>1405</v>
      </c>
      <c r="E532" s="619" t="s">
        <v>251</v>
      </c>
      <c r="F532" s="621"/>
      <c r="G532" s="622"/>
      <c r="H532" s="621">
        <v>12</v>
      </c>
      <c r="I532" s="622">
        <f>SUM(I533:I535)</f>
        <v>17.579999999999998</v>
      </c>
      <c r="J532" s="622">
        <f>SUM(J533:J535)</f>
        <v>11.77</v>
      </c>
      <c r="K532" s="622">
        <f>I532+J532</f>
        <v>29.349999999999998</v>
      </c>
      <c r="L532" s="622">
        <f>H532*I532</f>
        <v>210.95999999999998</v>
      </c>
      <c r="M532" s="622">
        <f>H532*J532</f>
        <v>141.24</v>
      </c>
      <c r="N532" s="622">
        <f>L532+M532</f>
        <v>352.2</v>
      </c>
      <c r="O532" s="622">
        <f>N532*$P$4</f>
        <v>86.500320000000002</v>
      </c>
      <c r="P532" s="622">
        <f>N532+O532</f>
        <v>438.70031999999998</v>
      </c>
    </row>
    <row r="533" spans="1:16" ht="48" x14ac:dyDescent="0.25">
      <c r="A533" s="611" t="s">
        <v>1108</v>
      </c>
      <c r="B533" s="611" t="s">
        <v>1396</v>
      </c>
      <c r="C533" s="611"/>
      <c r="D533" s="612" t="s">
        <v>1406</v>
      </c>
      <c r="E533" s="611" t="s">
        <v>251</v>
      </c>
      <c r="F533" s="613">
        <v>1</v>
      </c>
      <c r="G533" s="614">
        <f>5.94+2*5.82</f>
        <v>17.580000000000002</v>
      </c>
      <c r="H533" s="613"/>
      <c r="I533" s="614">
        <f>ROUND(F533*G533,2)</f>
        <v>17.579999999999998</v>
      </c>
      <c r="J533" s="614"/>
      <c r="K533" s="614">
        <f t="shared" si="121"/>
        <v>17.579999999999998</v>
      </c>
      <c r="L533" s="614"/>
      <c r="M533" s="614"/>
      <c r="N533" s="614"/>
      <c r="O533" s="614"/>
      <c r="P533" s="614"/>
    </row>
    <row r="534" spans="1:16" x14ac:dyDescent="0.25">
      <c r="A534" s="611" t="s">
        <v>277</v>
      </c>
      <c r="B534" s="611">
        <v>2436</v>
      </c>
      <c r="C534" s="611"/>
      <c r="D534" s="612" t="s">
        <v>1069</v>
      </c>
      <c r="E534" s="611" t="s">
        <v>229</v>
      </c>
      <c r="F534" s="613">
        <v>0.53</v>
      </c>
      <c r="G534" s="614">
        <v>12.57</v>
      </c>
      <c r="H534" s="613"/>
      <c r="I534" s="614"/>
      <c r="J534" s="614">
        <f>ROUND(F534*G534,2)</f>
        <v>6.66</v>
      </c>
      <c r="K534" s="614">
        <f t="shared" si="121"/>
        <v>6.66</v>
      </c>
      <c r="L534" s="614"/>
      <c r="M534" s="614"/>
      <c r="N534" s="614"/>
      <c r="O534" s="614"/>
      <c r="P534" s="614"/>
    </row>
    <row r="535" spans="1:16" x14ac:dyDescent="0.25">
      <c r="A535" s="611" t="s">
        <v>277</v>
      </c>
      <c r="B535" s="611">
        <v>247</v>
      </c>
      <c r="C535" s="611"/>
      <c r="D535" s="612" t="s">
        <v>1070</v>
      </c>
      <c r="E535" s="611" t="s">
        <v>229</v>
      </c>
      <c r="F535" s="613">
        <v>0.53</v>
      </c>
      <c r="G535" s="614">
        <v>9.65</v>
      </c>
      <c r="H535" s="613"/>
      <c r="I535" s="614"/>
      <c r="J535" s="614">
        <f>ROUND(F535*G535,2)</f>
        <v>5.1100000000000003</v>
      </c>
      <c r="K535" s="614">
        <f t="shared" si="121"/>
        <v>5.1100000000000003</v>
      </c>
      <c r="L535" s="614"/>
      <c r="M535" s="614"/>
      <c r="N535" s="614"/>
      <c r="O535" s="614"/>
      <c r="P535" s="614"/>
    </row>
    <row r="536" spans="1:16" x14ac:dyDescent="0.25">
      <c r="A536" s="619"/>
      <c r="B536" s="619"/>
      <c r="C536" s="619" t="s">
        <v>1407</v>
      </c>
      <c r="D536" s="620" t="s">
        <v>1408</v>
      </c>
      <c r="E536" s="619" t="s">
        <v>251</v>
      </c>
      <c r="F536" s="621"/>
      <c r="G536" s="622"/>
      <c r="H536" s="621">
        <v>2</v>
      </c>
      <c r="I536" s="622">
        <f>SUM(I537:I539)</f>
        <v>25.22</v>
      </c>
      <c r="J536" s="622">
        <f>SUM(J537:J539)</f>
        <v>15.56</v>
      </c>
      <c r="K536" s="622">
        <f>I536+J536</f>
        <v>40.78</v>
      </c>
      <c r="L536" s="622">
        <f>H536*I536</f>
        <v>50.44</v>
      </c>
      <c r="M536" s="622">
        <f>H536*J536</f>
        <v>31.12</v>
      </c>
      <c r="N536" s="622">
        <f>L536+M536</f>
        <v>81.56</v>
      </c>
      <c r="O536" s="622">
        <f>N536*$P$4</f>
        <v>20.031136</v>
      </c>
      <c r="P536" s="622">
        <f>N536+O536</f>
        <v>101.59113600000001</v>
      </c>
    </row>
    <row r="537" spans="1:16" ht="48" x14ac:dyDescent="0.25">
      <c r="A537" s="611" t="s">
        <v>1108</v>
      </c>
      <c r="B537" s="611" t="s">
        <v>1396</v>
      </c>
      <c r="C537" s="611"/>
      <c r="D537" s="612" t="s">
        <v>1406</v>
      </c>
      <c r="E537" s="611" t="s">
        <v>251</v>
      </c>
      <c r="F537" s="613">
        <v>1</v>
      </c>
      <c r="G537" s="614">
        <f>5.94+3*5.82+1.82</f>
        <v>25.220000000000002</v>
      </c>
      <c r="H537" s="613"/>
      <c r="I537" s="614">
        <f>ROUND(F537*G537,2)</f>
        <v>25.22</v>
      </c>
      <c r="J537" s="614"/>
      <c r="K537" s="614">
        <f t="shared" ref="K537:K543" si="122">I537+J537</f>
        <v>25.22</v>
      </c>
      <c r="L537" s="614"/>
      <c r="M537" s="614"/>
      <c r="N537" s="614"/>
      <c r="O537" s="614"/>
      <c r="P537" s="614"/>
    </row>
    <row r="538" spans="1:16" x14ac:dyDescent="0.25">
      <c r="A538" s="611" t="s">
        <v>277</v>
      </c>
      <c r="B538" s="611">
        <v>2436</v>
      </c>
      <c r="C538" s="611"/>
      <c r="D538" s="612" t="s">
        <v>1069</v>
      </c>
      <c r="E538" s="611" t="s">
        <v>229</v>
      </c>
      <c r="F538" s="613">
        <v>0.7</v>
      </c>
      <c r="G538" s="614">
        <v>12.57</v>
      </c>
      <c r="H538" s="613"/>
      <c r="I538" s="614"/>
      <c r="J538" s="614">
        <f>ROUND(F538*G538,2)</f>
        <v>8.8000000000000007</v>
      </c>
      <c r="K538" s="614">
        <f t="shared" si="122"/>
        <v>8.8000000000000007</v>
      </c>
      <c r="L538" s="614"/>
      <c r="M538" s="614"/>
      <c r="N538" s="614"/>
      <c r="O538" s="614"/>
      <c r="P538" s="614"/>
    </row>
    <row r="539" spans="1:16" x14ac:dyDescent="0.25">
      <c r="A539" s="611" t="s">
        <v>277</v>
      </c>
      <c r="B539" s="611">
        <v>247</v>
      </c>
      <c r="C539" s="611"/>
      <c r="D539" s="612" t="s">
        <v>1070</v>
      </c>
      <c r="E539" s="611" t="s">
        <v>229</v>
      </c>
      <c r="F539" s="613">
        <v>0.7</v>
      </c>
      <c r="G539" s="614">
        <v>9.65</v>
      </c>
      <c r="H539" s="613"/>
      <c r="I539" s="614"/>
      <c r="J539" s="614">
        <f>ROUND(F539*G539,2)</f>
        <v>6.76</v>
      </c>
      <c r="K539" s="614">
        <f t="shared" si="122"/>
        <v>6.76</v>
      </c>
      <c r="L539" s="614"/>
      <c r="M539" s="614"/>
      <c r="N539" s="614"/>
      <c r="O539" s="614"/>
      <c r="P539" s="614"/>
    </row>
    <row r="540" spans="1:16" ht="24" x14ac:dyDescent="0.25">
      <c r="A540" s="619"/>
      <c r="B540" s="619"/>
      <c r="C540" s="619" t="s">
        <v>1409</v>
      </c>
      <c r="D540" s="620" t="s">
        <v>1410</v>
      </c>
      <c r="E540" s="619" t="s">
        <v>251</v>
      </c>
      <c r="F540" s="621"/>
      <c r="G540" s="622"/>
      <c r="H540" s="621">
        <v>193</v>
      </c>
      <c r="I540" s="622">
        <f>SUM(I541:I543)</f>
        <v>9.7799999999999994</v>
      </c>
      <c r="J540" s="622">
        <f>SUM(J541:J543)</f>
        <v>6.4499999999999993</v>
      </c>
      <c r="K540" s="622">
        <f>I540+J540</f>
        <v>16.229999999999997</v>
      </c>
      <c r="L540" s="622">
        <f>H540*I540</f>
        <v>1887.54</v>
      </c>
      <c r="M540" s="622">
        <f>H540*J540</f>
        <v>1244.8499999999999</v>
      </c>
      <c r="N540" s="622">
        <f>L540+M540</f>
        <v>3132.39</v>
      </c>
      <c r="O540" s="622">
        <f>N540*$P$4</f>
        <v>769.31498399999998</v>
      </c>
      <c r="P540" s="622">
        <f>N540+O540</f>
        <v>3901.704984</v>
      </c>
    </row>
    <row r="541" spans="1:16" ht="48" x14ac:dyDescent="0.25">
      <c r="A541" s="611" t="s">
        <v>1108</v>
      </c>
      <c r="B541" s="611" t="s">
        <v>1396</v>
      </c>
      <c r="C541" s="611"/>
      <c r="D541" s="612" t="s">
        <v>1411</v>
      </c>
      <c r="E541" s="611" t="s">
        <v>251</v>
      </c>
      <c r="F541" s="613">
        <v>1</v>
      </c>
      <c r="G541" s="614">
        <f>6.74+3.04</f>
        <v>9.7800000000000011</v>
      </c>
      <c r="H541" s="613"/>
      <c r="I541" s="614">
        <f>ROUND(F541*G541,2)</f>
        <v>9.7799999999999994</v>
      </c>
      <c r="J541" s="614"/>
      <c r="K541" s="614">
        <f t="shared" si="122"/>
        <v>9.7799999999999994</v>
      </c>
      <c r="L541" s="614"/>
      <c r="M541" s="614"/>
      <c r="N541" s="614"/>
      <c r="O541" s="614"/>
      <c r="P541" s="614"/>
    </row>
    <row r="542" spans="1:16" x14ac:dyDescent="0.25">
      <c r="A542" s="611" t="s">
        <v>277</v>
      </c>
      <c r="B542" s="611">
        <v>2436</v>
      </c>
      <c r="C542" s="611"/>
      <c r="D542" s="612" t="s">
        <v>1069</v>
      </c>
      <c r="E542" s="611" t="s">
        <v>229</v>
      </c>
      <c r="F542" s="613">
        <v>0.28999999999999998</v>
      </c>
      <c r="G542" s="614">
        <v>12.57</v>
      </c>
      <c r="H542" s="613"/>
      <c r="I542" s="614"/>
      <c r="J542" s="614">
        <f>ROUND(F542*G542,2)</f>
        <v>3.65</v>
      </c>
      <c r="K542" s="614">
        <f t="shared" si="122"/>
        <v>3.65</v>
      </c>
      <c r="L542" s="614"/>
      <c r="M542" s="614"/>
      <c r="N542" s="614"/>
      <c r="O542" s="614"/>
      <c r="P542" s="614"/>
    </row>
    <row r="543" spans="1:16" x14ac:dyDescent="0.25">
      <c r="A543" s="611" t="s">
        <v>277</v>
      </c>
      <c r="B543" s="611">
        <v>247</v>
      </c>
      <c r="C543" s="611"/>
      <c r="D543" s="612" t="s">
        <v>1070</v>
      </c>
      <c r="E543" s="611" t="s">
        <v>229</v>
      </c>
      <c r="F543" s="613">
        <v>0.28999999999999998</v>
      </c>
      <c r="G543" s="614">
        <v>9.65</v>
      </c>
      <c r="H543" s="613"/>
      <c r="I543" s="614"/>
      <c r="J543" s="614">
        <f>ROUND(F543*G543,2)</f>
        <v>2.8</v>
      </c>
      <c r="K543" s="614">
        <f t="shared" si="122"/>
        <v>2.8</v>
      </c>
      <c r="L543" s="614"/>
      <c r="M543" s="614"/>
      <c r="N543" s="614"/>
      <c r="O543" s="614"/>
      <c r="P543" s="614"/>
    </row>
    <row r="544" spans="1:16" ht="24" x14ac:dyDescent="0.25">
      <c r="A544" s="619"/>
      <c r="B544" s="619"/>
      <c r="C544" s="619" t="s">
        <v>1412</v>
      </c>
      <c r="D544" s="620" t="s">
        <v>1413</v>
      </c>
      <c r="E544" s="619" t="s">
        <v>251</v>
      </c>
      <c r="F544" s="621"/>
      <c r="G544" s="622"/>
      <c r="H544" s="621">
        <v>43</v>
      </c>
      <c r="I544" s="622">
        <f>SUM(I545:I547)</f>
        <v>10.79</v>
      </c>
      <c r="J544" s="622">
        <f>SUM(J545:J547)</f>
        <v>6.4499999999999993</v>
      </c>
      <c r="K544" s="622">
        <f>I544+J544</f>
        <v>17.239999999999998</v>
      </c>
      <c r="L544" s="622">
        <f>H544*I544</f>
        <v>463.96999999999997</v>
      </c>
      <c r="M544" s="622">
        <f>H544*J544</f>
        <v>277.34999999999997</v>
      </c>
      <c r="N544" s="622">
        <f>L544+M544</f>
        <v>741.31999999999994</v>
      </c>
      <c r="O544" s="622">
        <f>N544*$P$4</f>
        <v>182.06819199999998</v>
      </c>
      <c r="P544" s="622">
        <f>N544+O544</f>
        <v>923.38819199999989</v>
      </c>
    </row>
    <row r="545" spans="1:16" ht="48" x14ac:dyDescent="0.25">
      <c r="A545" s="611" t="s">
        <v>1108</v>
      </c>
      <c r="B545" s="611" t="s">
        <v>1396</v>
      </c>
      <c r="C545" s="611"/>
      <c r="D545" s="612" t="s">
        <v>1411</v>
      </c>
      <c r="E545" s="611" t="s">
        <v>251</v>
      </c>
      <c r="F545" s="613">
        <v>1</v>
      </c>
      <c r="G545" s="614">
        <f>7.75+3.04</f>
        <v>10.79</v>
      </c>
      <c r="H545" s="613"/>
      <c r="I545" s="614">
        <f>ROUND(F545*G545,2)</f>
        <v>10.79</v>
      </c>
      <c r="J545" s="614"/>
      <c r="K545" s="614">
        <f t="shared" ref="K545:K551" si="123">I545+J545</f>
        <v>10.79</v>
      </c>
      <c r="L545" s="614"/>
      <c r="M545" s="614"/>
      <c r="N545" s="614"/>
      <c r="O545" s="614"/>
      <c r="P545" s="614"/>
    </row>
    <row r="546" spans="1:16" x14ac:dyDescent="0.25">
      <c r="A546" s="611" t="s">
        <v>277</v>
      </c>
      <c r="B546" s="611">
        <v>2436</v>
      </c>
      <c r="C546" s="611"/>
      <c r="D546" s="612" t="s">
        <v>1069</v>
      </c>
      <c r="E546" s="611" t="s">
        <v>229</v>
      </c>
      <c r="F546" s="613">
        <v>0.28999999999999998</v>
      </c>
      <c r="G546" s="614">
        <v>12.57</v>
      </c>
      <c r="H546" s="613"/>
      <c r="I546" s="614"/>
      <c r="J546" s="614">
        <f>ROUND(F546*G546,2)</f>
        <v>3.65</v>
      </c>
      <c r="K546" s="614">
        <f t="shared" si="123"/>
        <v>3.65</v>
      </c>
      <c r="L546" s="614"/>
      <c r="M546" s="614"/>
      <c r="N546" s="614"/>
      <c r="O546" s="614"/>
      <c r="P546" s="614"/>
    </row>
    <row r="547" spans="1:16" x14ac:dyDescent="0.25">
      <c r="A547" s="611" t="s">
        <v>277</v>
      </c>
      <c r="B547" s="611">
        <v>247</v>
      </c>
      <c r="C547" s="611"/>
      <c r="D547" s="612" t="s">
        <v>1070</v>
      </c>
      <c r="E547" s="611" t="s">
        <v>229</v>
      </c>
      <c r="F547" s="613">
        <v>0.28999999999999998</v>
      </c>
      <c r="G547" s="614">
        <v>9.65</v>
      </c>
      <c r="H547" s="613"/>
      <c r="I547" s="614"/>
      <c r="J547" s="614">
        <f>ROUND(F547*G547,2)</f>
        <v>2.8</v>
      </c>
      <c r="K547" s="614">
        <f t="shared" si="123"/>
        <v>2.8</v>
      </c>
      <c r="L547" s="614"/>
      <c r="M547" s="614"/>
      <c r="N547" s="614"/>
      <c r="O547" s="614"/>
      <c r="P547" s="614"/>
    </row>
    <row r="548" spans="1:16" ht="24" x14ac:dyDescent="0.25">
      <c r="A548" s="619"/>
      <c r="B548" s="619"/>
      <c r="C548" s="619" t="s">
        <v>1414</v>
      </c>
      <c r="D548" s="620" t="s">
        <v>1415</v>
      </c>
      <c r="E548" s="619" t="s">
        <v>251</v>
      </c>
      <c r="F548" s="621"/>
      <c r="G548" s="622"/>
      <c r="H548" s="621">
        <v>8</v>
      </c>
      <c r="I548" s="622">
        <f>SUM(I549:I551)</f>
        <v>16.52</v>
      </c>
      <c r="J548" s="622">
        <f>SUM(J549:J551)</f>
        <v>8.2200000000000006</v>
      </c>
      <c r="K548" s="622">
        <f>I548+J548</f>
        <v>24.740000000000002</v>
      </c>
      <c r="L548" s="622">
        <f>H548*I548</f>
        <v>132.16</v>
      </c>
      <c r="M548" s="622">
        <f>H548*J548</f>
        <v>65.760000000000005</v>
      </c>
      <c r="N548" s="622">
        <f>L548+M548</f>
        <v>197.92000000000002</v>
      </c>
      <c r="O548" s="622">
        <f>N548*$P$4</f>
        <v>48.609152000000009</v>
      </c>
      <c r="P548" s="622">
        <f>N548+O548</f>
        <v>246.52915200000001</v>
      </c>
    </row>
    <row r="549" spans="1:16" ht="48" x14ac:dyDescent="0.25">
      <c r="A549" s="611" t="s">
        <v>1108</v>
      </c>
      <c r="B549" s="611" t="s">
        <v>1396</v>
      </c>
      <c r="C549" s="611"/>
      <c r="D549" s="612" t="s">
        <v>1416</v>
      </c>
      <c r="E549" s="611" t="s">
        <v>251</v>
      </c>
      <c r="F549" s="613">
        <v>1</v>
      </c>
      <c r="G549" s="614">
        <f>2*6.74+3.04</f>
        <v>16.52</v>
      </c>
      <c r="H549" s="613"/>
      <c r="I549" s="614">
        <f>ROUND(F549*G549,2)</f>
        <v>16.52</v>
      </c>
      <c r="J549" s="614"/>
      <c r="K549" s="614">
        <f t="shared" si="123"/>
        <v>16.52</v>
      </c>
      <c r="L549" s="614"/>
      <c r="M549" s="614"/>
      <c r="N549" s="614"/>
      <c r="O549" s="614"/>
      <c r="P549" s="614"/>
    </row>
    <row r="550" spans="1:16" x14ac:dyDescent="0.25">
      <c r="A550" s="611" t="s">
        <v>277</v>
      </c>
      <c r="B550" s="611">
        <v>2436</v>
      </c>
      <c r="C550" s="611"/>
      <c r="D550" s="612" t="s">
        <v>1069</v>
      </c>
      <c r="E550" s="611" t="s">
        <v>229</v>
      </c>
      <c r="F550" s="613">
        <v>0.37</v>
      </c>
      <c r="G550" s="614">
        <v>12.57</v>
      </c>
      <c r="H550" s="613"/>
      <c r="I550" s="614"/>
      <c r="J550" s="614">
        <f>ROUND(F550*G550,2)</f>
        <v>4.6500000000000004</v>
      </c>
      <c r="K550" s="614">
        <f t="shared" si="123"/>
        <v>4.6500000000000004</v>
      </c>
      <c r="L550" s="614"/>
      <c r="M550" s="614"/>
      <c r="N550" s="614"/>
      <c r="O550" s="614"/>
      <c r="P550" s="614"/>
    </row>
    <row r="551" spans="1:16" x14ac:dyDescent="0.25">
      <c r="A551" s="611" t="s">
        <v>277</v>
      </c>
      <c r="B551" s="611">
        <v>247</v>
      </c>
      <c r="C551" s="611"/>
      <c r="D551" s="612" t="s">
        <v>1070</v>
      </c>
      <c r="E551" s="611" t="s">
        <v>229</v>
      </c>
      <c r="F551" s="613">
        <v>0.37</v>
      </c>
      <c r="G551" s="614">
        <v>9.65</v>
      </c>
      <c r="H551" s="613"/>
      <c r="I551" s="614"/>
      <c r="J551" s="614">
        <f>ROUND(F551*G551,2)</f>
        <v>3.57</v>
      </c>
      <c r="K551" s="614">
        <f t="shared" si="123"/>
        <v>3.57</v>
      </c>
      <c r="L551" s="614"/>
      <c r="M551" s="614"/>
      <c r="N551" s="614"/>
      <c r="O551" s="614"/>
      <c r="P551" s="614"/>
    </row>
    <row r="552" spans="1:16" ht="24" x14ac:dyDescent="0.25">
      <c r="A552" s="619"/>
      <c r="B552" s="619"/>
      <c r="C552" s="619" t="s">
        <v>1417</v>
      </c>
      <c r="D552" s="620" t="s">
        <v>1418</v>
      </c>
      <c r="E552" s="619" t="s">
        <v>251</v>
      </c>
      <c r="F552" s="621"/>
      <c r="G552" s="622"/>
      <c r="H552" s="621">
        <v>9</v>
      </c>
      <c r="I552" s="622">
        <f>SUM(I553:I555)</f>
        <v>18.54</v>
      </c>
      <c r="J552" s="622">
        <f>SUM(J553:J555)</f>
        <v>8.2200000000000006</v>
      </c>
      <c r="K552" s="622">
        <f>I552+J552</f>
        <v>26.759999999999998</v>
      </c>
      <c r="L552" s="622">
        <f>H552*I552</f>
        <v>166.85999999999999</v>
      </c>
      <c r="M552" s="622">
        <f>H552*J552</f>
        <v>73.98</v>
      </c>
      <c r="N552" s="622">
        <f>L552+M552</f>
        <v>240.83999999999997</v>
      </c>
      <c r="O552" s="622">
        <f>N552*$P$4</f>
        <v>59.150303999999998</v>
      </c>
      <c r="P552" s="622">
        <f>N552+O552</f>
        <v>299.99030399999998</v>
      </c>
    </row>
    <row r="553" spans="1:16" ht="48" x14ac:dyDescent="0.25">
      <c r="A553" s="611" t="s">
        <v>1108</v>
      </c>
      <c r="B553" s="611" t="s">
        <v>1396</v>
      </c>
      <c r="C553" s="611"/>
      <c r="D553" s="612" t="s">
        <v>1419</v>
      </c>
      <c r="E553" s="611" t="s">
        <v>251</v>
      </c>
      <c r="F553" s="613">
        <v>1</v>
      </c>
      <c r="G553" s="614">
        <f>2*7.75+3.04</f>
        <v>18.54</v>
      </c>
      <c r="H553" s="613"/>
      <c r="I553" s="614">
        <f>ROUND(F553*G553,2)</f>
        <v>18.54</v>
      </c>
      <c r="J553" s="614"/>
      <c r="K553" s="614">
        <f t="shared" ref="K553:K555" si="124">I553+J553</f>
        <v>18.54</v>
      </c>
      <c r="L553" s="614"/>
      <c r="M553" s="614"/>
      <c r="N553" s="614"/>
      <c r="O553" s="614"/>
      <c r="P553" s="614"/>
    </row>
    <row r="554" spans="1:16" x14ac:dyDescent="0.25">
      <c r="A554" s="611" t="s">
        <v>277</v>
      </c>
      <c r="B554" s="611">
        <v>2436</v>
      </c>
      <c r="C554" s="611"/>
      <c r="D554" s="612" t="s">
        <v>1069</v>
      </c>
      <c r="E554" s="611" t="s">
        <v>229</v>
      </c>
      <c r="F554" s="613">
        <v>0.37</v>
      </c>
      <c r="G554" s="614">
        <v>12.57</v>
      </c>
      <c r="H554" s="613"/>
      <c r="I554" s="614"/>
      <c r="J554" s="614">
        <f>ROUND(F554*G554,2)</f>
        <v>4.6500000000000004</v>
      </c>
      <c r="K554" s="614">
        <f t="shared" si="124"/>
        <v>4.6500000000000004</v>
      </c>
      <c r="L554" s="614"/>
      <c r="M554" s="614"/>
      <c r="N554" s="614"/>
      <c r="O554" s="614"/>
      <c r="P554" s="614"/>
    </row>
    <row r="555" spans="1:16" x14ac:dyDescent="0.25">
      <c r="A555" s="611" t="s">
        <v>277</v>
      </c>
      <c r="B555" s="611">
        <v>247</v>
      </c>
      <c r="C555" s="611"/>
      <c r="D555" s="612" t="s">
        <v>1070</v>
      </c>
      <c r="E555" s="611" t="s">
        <v>229</v>
      </c>
      <c r="F555" s="613">
        <v>0.37</v>
      </c>
      <c r="G555" s="614">
        <v>9.65</v>
      </c>
      <c r="H555" s="613"/>
      <c r="I555" s="614"/>
      <c r="J555" s="614">
        <f>ROUND(F555*G555,2)</f>
        <v>3.57</v>
      </c>
      <c r="K555" s="614">
        <f t="shared" si="124"/>
        <v>3.57</v>
      </c>
      <c r="L555" s="614"/>
      <c r="M555" s="614"/>
      <c r="N555" s="614"/>
      <c r="O555" s="614"/>
      <c r="P555" s="614"/>
    </row>
    <row r="556" spans="1:16" ht="24" x14ac:dyDescent="0.25">
      <c r="A556" s="619"/>
      <c r="B556" s="619"/>
      <c r="C556" s="619" t="s">
        <v>1420</v>
      </c>
      <c r="D556" s="620" t="s">
        <v>1421</v>
      </c>
      <c r="E556" s="619" t="s">
        <v>251</v>
      </c>
      <c r="F556" s="621"/>
      <c r="G556" s="622"/>
      <c r="H556" s="621">
        <v>10</v>
      </c>
      <c r="I556" s="622">
        <f>SUM(I557:I559)</f>
        <v>31.01</v>
      </c>
      <c r="J556" s="622">
        <f>SUM(J557:J559)</f>
        <v>8.89</v>
      </c>
      <c r="K556" s="622">
        <f>I556+J556</f>
        <v>39.900000000000006</v>
      </c>
      <c r="L556" s="622">
        <f>H556*I556</f>
        <v>310.10000000000002</v>
      </c>
      <c r="M556" s="622">
        <f>H556*J556</f>
        <v>88.9</v>
      </c>
      <c r="N556" s="622">
        <f>L556+M556</f>
        <v>399</v>
      </c>
      <c r="O556" s="622">
        <f>N556*$P$4</f>
        <v>97.994399999999999</v>
      </c>
      <c r="P556" s="622">
        <f>N556+O556</f>
        <v>496.99439999999998</v>
      </c>
    </row>
    <row r="557" spans="1:16" ht="48" x14ac:dyDescent="0.25">
      <c r="A557" s="611" t="s">
        <v>1108</v>
      </c>
      <c r="B557" s="611" t="s">
        <v>1396</v>
      </c>
      <c r="C557" s="611"/>
      <c r="D557" s="612" t="s">
        <v>1422</v>
      </c>
      <c r="E557" s="611" t="s">
        <v>251</v>
      </c>
      <c r="F557" s="613">
        <v>1</v>
      </c>
      <c r="G557" s="614">
        <f>3*7.75+5.94+1.82</f>
        <v>31.01</v>
      </c>
      <c r="H557" s="613"/>
      <c r="I557" s="614">
        <f>ROUND(F557*G557,2)</f>
        <v>31.01</v>
      </c>
      <c r="J557" s="614"/>
      <c r="K557" s="614">
        <f t="shared" ref="K557:K559" si="125">I557+J557</f>
        <v>31.01</v>
      </c>
      <c r="L557" s="614"/>
      <c r="M557" s="614"/>
      <c r="N557" s="614"/>
      <c r="O557" s="614"/>
      <c r="P557" s="614"/>
    </row>
    <row r="558" spans="1:16" x14ac:dyDescent="0.25">
      <c r="A558" s="611" t="s">
        <v>277</v>
      </c>
      <c r="B558" s="611">
        <v>2436</v>
      </c>
      <c r="C558" s="611"/>
      <c r="D558" s="612" t="s">
        <v>1069</v>
      </c>
      <c r="E558" s="611" t="s">
        <v>229</v>
      </c>
      <c r="F558" s="613">
        <v>0.4</v>
      </c>
      <c r="G558" s="614">
        <v>12.57</v>
      </c>
      <c r="H558" s="613"/>
      <c r="I558" s="614"/>
      <c r="J558" s="614">
        <f>ROUND(F558*G558,2)</f>
        <v>5.03</v>
      </c>
      <c r="K558" s="614">
        <f t="shared" si="125"/>
        <v>5.03</v>
      </c>
      <c r="L558" s="614"/>
      <c r="M558" s="614"/>
      <c r="N558" s="614"/>
      <c r="O558" s="614"/>
      <c r="P558" s="614"/>
    </row>
    <row r="559" spans="1:16" x14ac:dyDescent="0.25">
      <c r="A559" s="611" t="s">
        <v>277</v>
      </c>
      <c r="B559" s="611">
        <v>247</v>
      </c>
      <c r="C559" s="611"/>
      <c r="D559" s="612" t="s">
        <v>1070</v>
      </c>
      <c r="E559" s="611" t="s">
        <v>229</v>
      </c>
      <c r="F559" s="613">
        <v>0.4</v>
      </c>
      <c r="G559" s="614">
        <v>9.65</v>
      </c>
      <c r="H559" s="613"/>
      <c r="I559" s="614"/>
      <c r="J559" s="614">
        <f>ROUND(F559*G559,2)</f>
        <v>3.86</v>
      </c>
      <c r="K559" s="614">
        <f t="shared" si="125"/>
        <v>3.86</v>
      </c>
      <c r="L559" s="614"/>
      <c r="M559" s="614"/>
      <c r="N559" s="614"/>
      <c r="O559" s="614"/>
      <c r="P559" s="614"/>
    </row>
    <row r="560" spans="1:16" ht="24" x14ac:dyDescent="0.25">
      <c r="A560" s="619"/>
      <c r="B560" s="619"/>
      <c r="C560" s="619" t="s">
        <v>1423</v>
      </c>
      <c r="D560" s="620" t="s">
        <v>1424</v>
      </c>
      <c r="E560" s="619" t="s">
        <v>251</v>
      </c>
      <c r="F560" s="621"/>
      <c r="G560" s="622"/>
      <c r="H560" s="621">
        <v>3</v>
      </c>
      <c r="I560" s="622">
        <f>SUM(I561:I563)</f>
        <v>32.9</v>
      </c>
      <c r="J560" s="622">
        <f>SUM(J561:J563)</f>
        <v>9.56</v>
      </c>
      <c r="K560" s="622">
        <f>I560+J560</f>
        <v>42.46</v>
      </c>
      <c r="L560" s="622">
        <f>H560*I560</f>
        <v>98.699999999999989</v>
      </c>
      <c r="M560" s="622">
        <f>H560*J560</f>
        <v>28.68</v>
      </c>
      <c r="N560" s="622">
        <f>L560+M560</f>
        <v>127.38</v>
      </c>
      <c r="O560" s="622">
        <f>N560*$P$4</f>
        <v>31.284528000000002</v>
      </c>
      <c r="P560" s="622">
        <f>N560+O560</f>
        <v>158.66452799999999</v>
      </c>
    </row>
    <row r="561" spans="1:16" ht="48" x14ac:dyDescent="0.25">
      <c r="A561" s="611" t="s">
        <v>1108</v>
      </c>
      <c r="B561" s="611" t="s">
        <v>1396</v>
      </c>
      <c r="C561" s="611"/>
      <c r="D561" s="612" t="s">
        <v>1425</v>
      </c>
      <c r="E561" s="611" t="s">
        <v>251</v>
      </c>
      <c r="F561" s="613">
        <v>1</v>
      </c>
      <c r="G561" s="614">
        <f>4*6.74+5.94</f>
        <v>32.9</v>
      </c>
      <c r="H561" s="613"/>
      <c r="I561" s="614">
        <f>ROUND(F561*G561,2)</f>
        <v>32.9</v>
      </c>
      <c r="J561" s="614"/>
      <c r="K561" s="614">
        <f t="shared" ref="K561:K587" si="126">I561+J561</f>
        <v>32.9</v>
      </c>
      <c r="L561" s="614"/>
      <c r="M561" s="614"/>
      <c r="N561" s="614"/>
      <c r="O561" s="614"/>
      <c r="P561" s="614"/>
    </row>
    <row r="562" spans="1:16" x14ac:dyDescent="0.25">
      <c r="A562" s="611" t="s">
        <v>277</v>
      </c>
      <c r="B562" s="611">
        <v>2436</v>
      </c>
      <c r="C562" s="611"/>
      <c r="D562" s="612" t="s">
        <v>1069</v>
      </c>
      <c r="E562" s="611" t="s">
        <v>229</v>
      </c>
      <c r="F562" s="613">
        <v>0.43</v>
      </c>
      <c r="G562" s="614">
        <v>12.57</v>
      </c>
      <c r="H562" s="613"/>
      <c r="I562" s="614"/>
      <c r="J562" s="614">
        <f>ROUND(F562*G562,2)</f>
        <v>5.41</v>
      </c>
      <c r="K562" s="614">
        <f t="shared" si="126"/>
        <v>5.41</v>
      </c>
      <c r="L562" s="614"/>
      <c r="M562" s="614"/>
      <c r="N562" s="614"/>
      <c r="O562" s="614"/>
      <c r="P562" s="614"/>
    </row>
    <row r="563" spans="1:16" x14ac:dyDescent="0.25">
      <c r="A563" s="611" t="s">
        <v>277</v>
      </c>
      <c r="B563" s="611">
        <v>247</v>
      </c>
      <c r="C563" s="611"/>
      <c r="D563" s="612" t="s">
        <v>1070</v>
      </c>
      <c r="E563" s="611" t="s">
        <v>229</v>
      </c>
      <c r="F563" s="613">
        <v>0.43</v>
      </c>
      <c r="G563" s="614">
        <v>9.65</v>
      </c>
      <c r="H563" s="613"/>
      <c r="I563" s="614"/>
      <c r="J563" s="614">
        <f>ROUND(F563*G563,2)</f>
        <v>4.1500000000000004</v>
      </c>
      <c r="K563" s="614">
        <f t="shared" si="126"/>
        <v>4.1500000000000004</v>
      </c>
      <c r="L563" s="614"/>
      <c r="M563" s="614"/>
      <c r="N563" s="614"/>
      <c r="O563" s="614"/>
      <c r="P563" s="614"/>
    </row>
    <row r="564" spans="1:16" ht="24" x14ac:dyDescent="0.25">
      <c r="A564" s="619"/>
      <c r="B564" s="619"/>
      <c r="C564" s="619" t="s">
        <v>1426</v>
      </c>
      <c r="D564" s="620" t="s">
        <v>1427</v>
      </c>
      <c r="E564" s="619" t="s">
        <v>251</v>
      </c>
      <c r="F564" s="621"/>
      <c r="G564" s="622"/>
      <c r="H564" s="621">
        <v>21</v>
      </c>
      <c r="I564" s="622">
        <f>SUM(I565:I567)</f>
        <v>14.23</v>
      </c>
      <c r="J564" s="622">
        <f>SUM(J565:J567)</f>
        <v>8.2200000000000006</v>
      </c>
      <c r="K564" s="622">
        <f>I564+J564</f>
        <v>22.450000000000003</v>
      </c>
      <c r="L564" s="622">
        <f>H564*I564</f>
        <v>298.83</v>
      </c>
      <c r="M564" s="622">
        <f>H564*J564</f>
        <v>172.62</v>
      </c>
      <c r="N564" s="622">
        <f>L564+M564</f>
        <v>471.45</v>
      </c>
      <c r="O564" s="622">
        <f>N564*$P$4</f>
        <v>115.78812000000001</v>
      </c>
      <c r="P564" s="622">
        <f>N564+O564</f>
        <v>587.23811999999998</v>
      </c>
    </row>
    <row r="565" spans="1:16" ht="60" x14ac:dyDescent="0.25">
      <c r="A565" s="611" t="s">
        <v>1108</v>
      </c>
      <c r="B565" s="611" t="s">
        <v>1396</v>
      </c>
      <c r="C565" s="611"/>
      <c r="D565" s="612" t="s">
        <v>1428</v>
      </c>
      <c r="E565" s="611" t="s">
        <v>251</v>
      </c>
      <c r="F565" s="613">
        <v>1</v>
      </c>
      <c r="G565" s="614">
        <f>6.74+4.45+3.04</f>
        <v>14.23</v>
      </c>
      <c r="H565" s="613"/>
      <c r="I565" s="614">
        <f>ROUND(F565*G565,2)</f>
        <v>14.23</v>
      </c>
      <c r="J565" s="614"/>
      <c r="K565" s="614">
        <f t="shared" ref="K565:K567" si="127">I565+J565</f>
        <v>14.23</v>
      </c>
      <c r="L565" s="614"/>
      <c r="M565" s="614"/>
      <c r="N565" s="614"/>
      <c r="O565" s="614"/>
      <c r="P565" s="614"/>
    </row>
    <row r="566" spans="1:16" x14ac:dyDescent="0.25">
      <c r="A566" s="611" t="s">
        <v>277</v>
      </c>
      <c r="B566" s="611">
        <v>2436</v>
      </c>
      <c r="C566" s="611"/>
      <c r="D566" s="612" t="s">
        <v>1069</v>
      </c>
      <c r="E566" s="611" t="s">
        <v>229</v>
      </c>
      <c r="F566" s="613">
        <v>0.37</v>
      </c>
      <c r="G566" s="614">
        <v>12.57</v>
      </c>
      <c r="H566" s="613"/>
      <c r="I566" s="614"/>
      <c r="J566" s="614">
        <f>ROUND(F566*G566,2)</f>
        <v>4.6500000000000004</v>
      </c>
      <c r="K566" s="614">
        <f t="shared" si="127"/>
        <v>4.6500000000000004</v>
      </c>
      <c r="L566" s="614"/>
      <c r="M566" s="614"/>
      <c r="N566" s="614"/>
      <c r="O566" s="614"/>
      <c r="P566" s="614"/>
    </row>
    <row r="567" spans="1:16" x14ac:dyDescent="0.25">
      <c r="A567" s="611" t="s">
        <v>277</v>
      </c>
      <c r="B567" s="611">
        <v>247</v>
      </c>
      <c r="C567" s="611"/>
      <c r="D567" s="612" t="s">
        <v>1070</v>
      </c>
      <c r="E567" s="611" t="s">
        <v>229</v>
      </c>
      <c r="F567" s="613">
        <v>0.37</v>
      </c>
      <c r="G567" s="614">
        <v>9.65</v>
      </c>
      <c r="H567" s="613"/>
      <c r="I567" s="614"/>
      <c r="J567" s="614">
        <f>ROUND(F567*G567,2)</f>
        <v>3.57</v>
      </c>
      <c r="K567" s="614">
        <f t="shared" si="127"/>
        <v>3.57</v>
      </c>
      <c r="L567" s="614"/>
      <c r="M567" s="614"/>
      <c r="N567" s="614"/>
      <c r="O567" s="614"/>
      <c r="P567" s="614"/>
    </row>
    <row r="568" spans="1:16" ht="24" x14ac:dyDescent="0.25">
      <c r="A568" s="619"/>
      <c r="B568" s="619"/>
      <c r="C568" s="619" t="s">
        <v>1429</v>
      </c>
      <c r="D568" s="620" t="s">
        <v>1430</v>
      </c>
      <c r="E568" s="619" t="s">
        <v>251</v>
      </c>
      <c r="F568" s="621"/>
      <c r="G568" s="622"/>
      <c r="H568" s="621">
        <v>5</v>
      </c>
      <c r="I568" s="622">
        <f>SUM(I569:I571)</f>
        <v>9.7799999999999994</v>
      </c>
      <c r="J568" s="622">
        <f>SUM(J569:J571)</f>
        <v>6.4499999999999993</v>
      </c>
      <c r="K568" s="622">
        <f>I568+J568</f>
        <v>16.229999999999997</v>
      </c>
      <c r="L568" s="622">
        <f>H568*I568</f>
        <v>48.9</v>
      </c>
      <c r="M568" s="622">
        <f>H568*J568</f>
        <v>32.25</v>
      </c>
      <c r="N568" s="622">
        <f>L568+M568</f>
        <v>81.150000000000006</v>
      </c>
      <c r="O568" s="622">
        <f>N568*$P$4</f>
        <v>19.930440000000001</v>
      </c>
      <c r="P568" s="622">
        <f>N568+O568</f>
        <v>101.08044000000001</v>
      </c>
    </row>
    <row r="569" spans="1:16" ht="24" x14ac:dyDescent="0.25">
      <c r="A569" s="611" t="s">
        <v>1108</v>
      </c>
      <c r="B569" s="611" t="s">
        <v>1396</v>
      </c>
      <c r="C569" s="611"/>
      <c r="D569" s="612" t="s">
        <v>1431</v>
      </c>
      <c r="E569" s="611" t="s">
        <v>251</v>
      </c>
      <c r="F569" s="613">
        <v>1</v>
      </c>
      <c r="G569" s="614">
        <f>6.74+3.04</f>
        <v>9.7800000000000011</v>
      </c>
      <c r="H569" s="613"/>
      <c r="I569" s="614">
        <f>ROUND(F569*G569,2)</f>
        <v>9.7799999999999994</v>
      </c>
      <c r="J569" s="614"/>
      <c r="K569" s="614">
        <f t="shared" si="126"/>
        <v>9.7799999999999994</v>
      </c>
      <c r="L569" s="614"/>
      <c r="M569" s="614"/>
      <c r="N569" s="614"/>
      <c r="O569" s="614"/>
      <c r="P569" s="614"/>
    </row>
    <row r="570" spans="1:16" x14ac:dyDescent="0.25">
      <c r="A570" s="611" t="s">
        <v>277</v>
      </c>
      <c r="B570" s="611">
        <v>2436</v>
      </c>
      <c r="C570" s="611"/>
      <c r="D570" s="612" t="s">
        <v>1069</v>
      </c>
      <c r="E570" s="611" t="s">
        <v>229</v>
      </c>
      <c r="F570" s="613">
        <v>0.28999999999999998</v>
      </c>
      <c r="G570" s="614">
        <v>12.57</v>
      </c>
      <c r="H570" s="613"/>
      <c r="I570" s="614"/>
      <c r="J570" s="614">
        <f>ROUND(F570*G570,2)</f>
        <v>3.65</v>
      </c>
      <c r="K570" s="614">
        <f t="shared" si="126"/>
        <v>3.65</v>
      </c>
      <c r="L570" s="614"/>
      <c r="M570" s="614"/>
      <c r="N570" s="614"/>
      <c r="O570" s="614"/>
      <c r="P570" s="614"/>
    </row>
    <row r="571" spans="1:16" x14ac:dyDescent="0.25">
      <c r="A571" s="611" t="s">
        <v>277</v>
      </c>
      <c r="B571" s="611">
        <v>247</v>
      </c>
      <c r="C571" s="611"/>
      <c r="D571" s="612" t="s">
        <v>1070</v>
      </c>
      <c r="E571" s="611" t="s">
        <v>229</v>
      </c>
      <c r="F571" s="613">
        <v>0.28999999999999998</v>
      </c>
      <c r="G571" s="614">
        <v>9.65</v>
      </c>
      <c r="H571" s="613"/>
      <c r="I571" s="614"/>
      <c r="J571" s="614">
        <f>ROUND(F571*G571,2)</f>
        <v>2.8</v>
      </c>
      <c r="K571" s="614">
        <f t="shared" si="126"/>
        <v>2.8</v>
      </c>
      <c r="L571" s="614"/>
      <c r="M571" s="614"/>
      <c r="N571" s="614"/>
      <c r="O571" s="614"/>
      <c r="P571" s="614"/>
    </row>
    <row r="572" spans="1:16" ht="24" x14ac:dyDescent="0.25">
      <c r="A572" s="619"/>
      <c r="B572" s="619"/>
      <c r="C572" s="619" t="s">
        <v>1432</v>
      </c>
      <c r="D572" s="620" t="s">
        <v>1433</v>
      </c>
      <c r="E572" s="619" t="s">
        <v>251</v>
      </c>
      <c r="F572" s="621"/>
      <c r="G572" s="622"/>
      <c r="H572" s="621">
        <v>4</v>
      </c>
      <c r="I572" s="622">
        <f>SUM(I573:I575)</f>
        <v>10.79</v>
      </c>
      <c r="J572" s="622">
        <f>SUM(J573:J575)</f>
        <v>6.4499999999999993</v>
      </c>
      <c r="K572" s="622">
        <f>I572+J572</f>
        <v>17.239999999999998</v>
      </c>
      <c r="L572" s="622">
        <f>H572*I572</f>
        <v>43.16</v>
      </c>
      <c r="M572" s="622">
        <f>H572*J572</f>
        <v>25.799999999999997</v>
      </c>
      <c r="N572" s="622">
        <f>L572+M572</f>
        <v>68.959999999999994</v>
      </c>
      <c r="O572" s="622">
        <f>N572*$P$4</f>
        <v>16.936575999999999</v>
      </c>
      <c r="P572" s="622">
        <f>N572+O572</f>
        <v>85.896575999999996</v>
      </c>
    </row>
    <row r="573" spans="1:16" ht="24" x14ac:dyDescent="0.25">
      <c r="A573" s="611" t="s">
        <v>1108</v>
      </c>
      <c r="B573" s="611" t="s">
        <v>1396</v>
      </c>
      <c r="C573" s="611"/>
      <c r="D573" s="612" t="s">
        <v>1434</v>
      </c>
      <c r="E573" s="611" t="s">
        <v>251</v>
      </c>
      <c r="F573" s="613">
        <v>1</v>
      </c>
      <c r="G573" s="614">
        <f>7.75+3.04</f>
        <v>10.79</v>
      </c>
      <c r="H573" s="613"/>
      <c r="I573" s="614">
        <f>ROUND(F573*G573,2)</f>
        <v>10.79</v>
      </c>
      <c r="J573" s="614"/>
      <c r="K573" s="614">
        <f t="shared" si="126"/>
        <v>10.79</v>
      </c>
      <c r="L573" s="614"/>
      <c r="M573" s="614"/>
      <c r="N573" s="614"/>
      <c r="O573" s="614"/>
      <c r="P573" s="614"/>
    </row>
    <row r="574" spans="1:16" x14ac:dyDescent="0.25">
      <c r="A574" s="611" t="s">
        <v>277</v>
      </c>
      <c r="B574" s="611">
        <v>2436</v>
      </c>
      <c r="C574" s="611"/>
      <c r="D574" s="612" t="s">
        <v>1069</v>
      </c>
      <c r="E574" s="611" t="s">
        <v>229</v>
      </c>
      <c r="F574" s="613">
        <v>0.28999999999999998</v>
      </c>
      <c r="G574" s="614">
        <v>12.57</v>
      </c>
      <c r="H574" s="613"/>
      <c r="I574" s="614"/>
      <c r="J574" s="614">
        <f>ROUND(F574*G574,2)</f>
        <v>3.65</v>
      </c>
      <c r="K574" s="614">
        <f t="shared" si="126"/>
        <v>3.65</v>
      </c>
      <c r="L574" s="614"/>
      <c r="M574" s="614"/>
      <c r="N574" s="614"/>
      <c r="O574" s="614"/>
      <c r="P574" s="614"/>
    </row>
    <row r="575" spans="1:16" x14ac:dyDescent="0.25">
      <c r="A575" s="611" t="s">
        <v>277</v>
      </c>
      <c r="B575" s="611">
        <v>247</v>
      </c>
      <c r="C575" s="611"/>
      <c r="D575" s="612" t="s">
        <v>1070</v>
      </c>
      <c r="E575" s="611" t="s">
        <v>229</v>
      </c>
      <c r="F575" s="613">
        <v>0.28999999999999998</v>
      </c>
      <c r="G575" s="614">
        <v>9.65</v>
      </c>
      <c r="H575" s="613"/>
      <c r="I575" s="614"/>
      <c r="J575" s="614">
        <f>ROUND(F575*G575,2)</f>
        <v>2.8</v>
      </c>
      <c r="K575" s="614">
        <f t="shared" si="126"/>
        <v>2.8</v>
      </c>
      <c r="L575" s="614"/>
      <c r="M575" s="614"/>
      <c r="N575" s="614"/>
      <c r="O575" s="614"/>
      <c r="P575" s="614"/>
    </row>
    <row r="576" spans="1:16" ht="24" x14ac:dyDescent="0.25">
      <c r="A576" s="619"/>
      <c r="B576" s="619"/>
      <c r="C576" s="619" t="s">
        <v>1435</v>
      </c>
      <c r="D576" s="620" t="s">
        <v>1436</v>
      </c>
      <c r="E576" s="619" t="s">
        <v>251</v>
      </c>
      <c r="F576" s="621"/>
      <c r="G576" s="622"/>
      <c r="H576" s="621">
        <v>8</v>
      </c>
      <c r="I576" s="622">
        <f>SUM(I577:I579)</f>
        <v>16.52</v>
      </c>
      <c r="J576" s="622">
        <f>SUM(J577:J579)</f>
        <v>8.2200000000000006</v>
      </c>
      <c r="K576" s="622">
        <f>I576+J576</f>
        <v>24.740000000000002</v>
      </c>
      <c r="L576" s="622">
        <f>H576*I576</f>
        <v>132.16</v>
      </c>
      <c r="M576" s="622">
        <f>H576*J576</f>
        <v>65.760000000000005</v>
      </c>
      <c r="N576" s="622">
        <f>L576+M576</f>
        <v>197.92000000000002</v>
      </c>
      <c r="O576" s="622">
        <f>N576*$P$4</f>
        <v>48.609152000000009</v>
      </c>
      <c r="P576" s="622">
        <f>N576+O576</f>
        <v>246.52915200000001</v>
      </c>
    </row>
    <row r="577" spans="1:16" ht="24" x14ac:dyDescent="0.25">
      <c r="A577" s="611" t="s">
        <v>1108</v>
      </c>
      <c r="B577" s="611" t="s">
        <v>1396</v>
      </c>
      <c r="C577" s="611"/>
      <c r="D577" s="612" t="s">
        <v>1437</v>
      </c>
      <c r="E577" s="611" t="s">
        <v>251</v>
      </c>
      <c r="F577" s="613">
        <v>1</v>
      </c>
      <c r="G577" s="614">
        <f>2*6.74+3.04</f>
        <v>16.52</v>
      </c>
      <c r="H577" s="613"/>
      <c r="I577" s="614">
        <f>ROUND(F577*G577,2)</f>
        <v>16.52</v>
      </c>
      <c r="J577" s="614"/>
      <c r="K577" s="614">
        <f t="shared" si="126"/>
        <v>16.52</v>
      </c>
      <c r="L577" s="614"/>
      <c r="M577" s="614"/>
      <c r="N577" s="614"/>
      <c r="O577" s="614"/>
      <c r="P577" s="614"/>
    </row>
    <row r="578" spans="1:16" x14ac:dyDescent="0.25">
      <c r="A578" s="611" t="s">
        <v>277</v>
      </c>
      <c r="B578" s="611">
        <v>2436</v>
      </c>
      <c r="C578" s="611"/>
      <c r="D578" s="612" t="s">
        <v>1069</v>
      </c>
      <c r="E578" s="611" t="s">
        <v>229</v>
      </c>
      <c r="F578" s="613">
        <v>0.37</v>
      </c>
      <c r="G578" s="614">
        <v>12.57</v>
      </c>
      <c r="H578" s="613"/>
      <c r="I578" s="614"/>
      <c r="J578" s="614">
        <f>ROUND(F578*G578,2)</f>
        <v>4.6500000000000004</v>
      </c>
      <c r="K578" s="614">
        <f t="shared" si="126"/>
        <v>4.6500000000000004</v>
      </c>
      <c r="L578" s="614"/>
      <c r="M578" s="614"/>
      <c r="N578" s="614"/>
      <c r="O578" s="614"/>
      <c r="P578" s="614"/>
    </row>
    <row r="579" spans="1:16" x14ac:dyDescent="0.25">
      <c r="A579" s="611" t="s">
        <v>277</v>
      </c>
      <c r="B579" s="611">
        <v>247</v>
      </c>
      <c r="C579" s="611"/>
      <c r="D579" s="612" t="s">
        <v>1070</v>
      </c>
      <c r="E579" s="611" t="s">
        <v>229</v>
      </c>
      <c r="F579" s="613">
        <v>0.37</v>
      </c>
      <c r="G579" s="614">
        <v>9.65</v>
      </c>
      <c r="H579" s="613"/>
      <c r="I579" s="614"/>
      <c r="J579" s="614">
        <f>ROUND(F579*G579,2)</f>
        <v>3.57</v>
      </c>
      <c r="K579" s="614">
        <f t="shared" si="126"/>
        <v>3.57</v>
      </c>
      <c r="L579" s="614"/>
      <c r="M579" s="614"/>
      <c r="N579" s="614"/>
      <c r="O579" s="614"/>
      <c r="P579" s="614"/>
    </row>
    <row r="580" spans="1:16" ht="24" x14ac:dyDescent="0.25">
      <c r="A580" s="619"/>
      <c r="B580" s="619"/>
      <c r="C580" s="619" t="s">
        <v>1438</v>
      </c>
      <c r="D580" s="620" t="s">
        <v>1439</v>
      </c>
      <c r="E580" s="619" t="s">
        <v>251</v>
      </c>
      <c r="F580" s="621"/>
      <c r="G580" s="622"/>
      <c r="H580" s="621">
        <v>8</v>
      </c>
      <c r="I580" s="622">
        <f>SUM(I581:I583)</f>
        <v>18.54</v>
      </c>
      <c r="J580" s="622">
        <f>SUM(J581:J583)</f>
        <v>8.2200000000000006</v>
      </c>
      <c r="K580" s="622">
        <f>I580+J580</f>
        <v>26.759999999999998</v>
      </c>
      <c r="L580" s="622">
        <f>H580*I580</f>
        <v>148.32</v>
      </c>
      <c r="M580" s="622">
        <f>H580*J580</f>
        <v>65.760000000000005</v>
      </c>
      <c r="N580" s="622">
        <f>L580+M580</f>
        <v>214.07999999999998</v>
      </c>
      <c r="O580" s="622">
        <f>N580*$P$4</f>
        <v>52.578047999999995</v>
      </c>
      <c r="P580" s="622">
        <f>N580+O580</f>
        <v>266.65804800000001</v>
      </c>
    </row>
    <row r="581" spans="1:16" ht="24" x14ac:dyDescent="0.25">
      <c r="A581" s="611" t="s">
        <v>1108</v>
      </c>
      <c r="B581" s="611" t="s">
        <v>1396</v>
      </c>
      <c r="C581" s="611"/>
      <c r="D581" s="612" t="s">
        <v>1440</v>
      </c>
      <c r="E581" s="611" t="s">
        <v>251</v>
      </c>
      <c r="F581" s="613">
        <v>1</v>
      </c>
      <c r="G581" s="614">
        <f>2*7.75+3.04</f>
        <v>18.54</v>
      </c>
      <c r="H581" s="613"/>
      <c r="I581" s="614">
        <f>ROUND(F581*G581,2)</f>
        <v>18.54</v>
      </c>
      <c r="J581" s="614"/>
      <c r="K581" s="614">
        <f t="shared" si="126"/>
        <v>18.54</v>
      </c>
      <c r="L581" s="614"/>
      <c r="M581" s="614"/>
      <c r="N581" s="614"/>
      <c r="O581" s="614"/>
      <c r="P581" s="614"/>
    </row>
    <row r="582" spans="1:16" x14ac:dyDescent="0.25">
      <c r="A582" s="611" t="s">
        <v>277</v>
      </c>
      <c r="B582" s="611">
        <v>2436</v>
      </c>
      <c r="C582" s="611"/>
      <c r="D582" s="612" t="s">
        <v>1069</v>
      </c>
      <c r="E582" s="611" t="s">
        <v>229</v>
      </c>
      <c r="F582" s="613">
        <v>0.37</v>
      </c>
      <c r="G582" s="614">
        <v>12.57</v>
      </c>
      <c r="H582" s="613"/>
      <c r="I582" s="614"/>
      <c r="J582" s="614">
        <f>ROUND(F582*G582,2)</f>
        <v>4.6500000000000004</v>
      </c>
      <c r="K582" s="614">
        <f t="shared" si="126"/>
        <v>4.6500000000000004</v>
      </c>
      <c r="L582" s="614"/>
      <c r="M582" s="614"/>
      <c r="N582" s="614"/>
      <c r="O582" s="614"/>
      <c r="P582" s="614"/>
    </row>
    <row r="583" spans="1:16" x14ac:dyDescent="0.25">
      <c r="A583" s="611" t="s">
        <v>277</v>
      </c>
      <c r="B583" s="611">
        <v>247</v>
      </c>
      <c r="C583" s="611"/>
      <c r="D583" s="612" t="s">
        <v>1070</v>
      </c>
      <c r="E583" s="611" t="s">
        <v>229</v>
      </c>
      <c r="F583" s="613">
        <v>0.37</v>
      </c>
      <c r="G583" s="614">
        <v>9.65</v>
      </c>
      <c r="H583" s="613"/>
      <c r="I583" s="614"/>
      <c r="J583" s="614">
        <f>ROUND(F583*G583,2)</f>
        <v>3.57</v>
      </c>
      <c r="K583" s="614">
        <f t="shared" si="126"/>
        <v>3.57</v>
      </c>
      <c r="L583" s="614"/>
      <c r="M583" s="614"/>
      <c r="N583" s="614"/>
      <c r="O583" s="614"/>
      <c r="P583" s="614"/>
    </row>
    <row r="584" spans="1:16" x14ac:dyDescent="0.25">
      <c r="A584" s="619"/>
      <c r="B584" s="619"/>
      <c r="C584" s="619" t="s">
        <v>1441</v>
      </c>
      <c r="D584" s="620" t="s">
        <v>1442</v>
      </c>
      <c r="E584" s="619" t="s">
        <v>251</v>
      </c>
      <c r="F584" s="621"/>
      <c r="G584" s="622"/>
      <c r="H584" s="621">
        <v>15</v>
      </c>
      <c r="I584" s="622">
        <f>SUM(I585:I587)</f>
        <v>3.04</v>
      </c>
      <c r="J584" s="622">
        <f>SUM(J585:J587)</f>
        <v>1.1099999999999999</v>
      </c>
      <c r="K584" s="622">
        <f>I584+J584</f>
        <v>4.1500000000000004</v>
      </c>
      <c r="L584" s="622">
        <f>H584*I584</f>
        <v>45.6</v>
      </c>
      <c r="M584" s="622">
        <f>H584*J584</f>
        <v>16.649999999999999</v>
      </c>
      <c r="N584" s="622">
        <f>L584+M584</f>
        <v>62.25</v>
      </c>
      <c r="O584" s="622">
        <f>N584*$P$4</f>
        <v>15.288600000000001</v>
      </c>
      <c r="P584" s="622">
        <f>N584+O584</f>
        <v>77.538600000000002</v>
      </c>
    </row>
    <row r="585" spans="1:16" ht="36" x14ac:dyDescent="0.25">
      <c r="A585" s="611" t="s">
        <v>1108</v>
      </c>
      <c r="B585" s="611" t="s">
        <v>1396</v>
      </c>
      <c r="C585" s="611"/>
      <c r="D585" s="612" t="s">
        <v>1443</v>
      </c>
      <c r="E585" s="611" t="s">
        <v>251</v>
      </c>
      <c r="F585" s="613">
        <v>1</v>
      </c>
      <c r="G585" s="614">
        <v>3.04</v>
      </c>
      <c r="H585" s="613"/>
      <c r="I585" s="614">
        <f>ROUND(F585*G585,2)</f>
        <v>3.04</v>
      </c>
      <c r="J585" s="614"/>
      <c r="K585" s="614">
        <f t="shared" si="126"/>
        <v>3.04</v>
      </c>
      <c r="L585" s="614"/>
      <c r="M585" s="614"/>
      <c r="N585" s="614"/>
      <c r="O585" s="614"/>
      <c r="P585" s="614"/>
    </row>
    <row r="586" spans="1:16" x14ac:dyDescent="0.25">
      <c r="A586" s="611" t="s">
        <v>277</v>
      </c>
      <c r="B586" s="611">
        <v>2436</v>
      </c>
      <c r="C586" s="611"/>
      <c r="D586" s="612" t="s">
        <v>1069</v>
      </c>
      <c r="E586" s="611" t="s">
        <v>229</v>
      </c>
      <c r="F586" s="613">
        <v>0.05</v>
      </c>
      <c r="G586" s="614">
        <v>12.57</v>
      </c>
      <c r="H586" s="613"/>
      <c r="I586" s="614"/>
      <c r="J586" s="614">
        <f>ROUND(F586*G586,2)</f>
        <v>0.63</v>
      </c>
      <c r="K586" s="614">
        <f t="shared" si="126"/>
        <v>0.63</v>
      </c>
      <c r="L586" s="614"/>
      <c r="M586" s="614"/>
      <c r="N586" s="614"/>
      <c r="O586" s="614"/>
      <c r="P586" s="614"/>
    </row>
    <row r="587" spans="1:16" x14ac:dyDescent="0.25">
      <c r="A587" s="611" t="s">
        <v>277</v>
      </c>
      <c r="B587" s="611">
        <v>247</v>
      </c>
      <c r="C587" s="611"/>
      <c r="D587" s="612" t="s">
        <v>1070</v>
      </c>
      <c r="E587" s="611" t="s">
        <v>229</v>
      </c>
      <c r="F587" s="613">
        <v>0.05</v>
      </c>
      <c r="G587" s="614">
        <v>9.65</v>
      </c>
      <c r="H587" s="613"/>
      <c r="I587" s="614"/>
      <c r="J587" s="614">
        <f>ROUND(F587*G587,2)</f>
        <v>0.48</v>
      </c>
      <c r="K587" s="614">
        <f t="shared" si="126"/>
        <v>0.48</v>
      </c>
      <c r="L587" s="614"/>
      <c r="M587" s="614"/>
      <c r="N587" s="614"/>
      <c r="O587" s="614"/>
      <c r="P587" s="614"/>
    </row>
    <row r="588" spans="1:16" x14ac:dyDescent="0.25">
      <c r="A588" s="611"/>
      <c r="B588" s="611"/>
      <c r="C588" s="611"/>
      <c r="D588" s="612"/>
      <c r="E588" s="611"/>
      <c r="F588" s="613"/>
      <c r="G588" s="614"/>
      <c r="H588" s="613"/>
      <c r="I588" s="614"/>
      <c r="J588" s="614"/>
      <c r="K588" s="614"/>
      <c r="L588" s="614"/>
      <c r="M588" s="614"/>
      <c r="N588" s="614"/>
      <c r="O588" s="614"/>
      <c r="P588" s="614"/>
    </row>
    <row r="589" spans="1:16" x14ac:dyDescent="0.25">
      <c r="A589" s="611"/>
      <c r="B589" s="611"/>
      <c r="C589" s="611"/>
      <c r="D589" s="629" t="s">
        <v>1444</v>
      </c>
      <c r="E589" s="611"/>
      <c r="F589" s="613"/>
      <c r="G589" s="614"/>
      <c r="H589" s="613"/>
      <c r="I589" s="614"/>
      <c r="J589" s="614"/>
      <c r="K589" s="614"/>
      <c r="L589" s="614"/>
      <c r="M589" s="614"/>
      <c r="N589" s="614"/>
      <c r="O589" s="614"/>
      <c r="P589" s="614"/>
    </row>
    <row r="590" spans="1:16" x14ac:dyDescent="0.25">
      <c r="A590" s="611"/>
      <c r="B590" s="611"/>
      <c r="C590" s="611"/>
      <c r="D590" s="612"/>
      <c r="E590" s="611"/>
      <c r="F590" s="613"/>
      <c r="G590" s="614"/>
      <c r="H590" s="613"/>
      <c r="I590" s="614"/>
      <c r="J590" s="614"/>
      <c r="K590" s="614"/>
      <c r="L590" s="614"/>
      <c r="M590" s="614"/>
      <c r="N590" s="614"/>
      <c r="O590" s="614"/>
      <c r="P590" s="614"/>
    </row>
    <row r="591" spans="1:16" ht="24" x14ac:dyDescent="0.25">
      <c r="A591" s="619"/>
      <c r="B591" s="619"/>
      <c r="C591" s="619" t="s">
        <v>1445</v>
      </c>
      <c r="D591" s="620" t="s">
        <v>1446</v>
      </c>
      <c r="E591" s="619" t="s">
        <v>251</v>
      </c>
      <c r="F591" s="621"/>
      <c r="G591" s="622"/>
      <c r="H591" s="621">
        <v>15</v>
      </c>
      <c r="I591" s="622">
        <f>SUM(I592:I594)</f>
        <v>185</v>
      </c>
      <c r="J591" s="622">
        <f>SUM(J592:J594)</f>
        <v>17.78</v>
      </c>
      <c r="K591" s="622">
        <f>I591+J591</f>
        <v>202.78</v>
      </c>
      <c r="L591" s="622">
        <f>H591*I591</f>
        <v>2775</v>
      </c>
      <c r="M591" s="622">
        <f>H591*J591</f>
        <v>266.70000000000005</v>
      </c>
      <c r="N591" s="622">
        <f>L591+M591</f>
        <v>3041.7</v>
      </c>
      <c r="O591" s="622">
        <f>N591*$P$4</f>
        <v>747.04151999999999</v>
      </c>
      <c r="P591" s="622">
        <f>N591+O591</f>
        <v>3788.7415199999996</v>
      </c>
    </row>
    <row r="592" spans="1:16" ht="48" x14ac:dyDescent="0.25">
      <c r="A592" s="611" t="s">
        <v>1108</v>
      </c>
      <c r="B592" s="611"/>
      <c r="C592" s="611"/>
      <c r="D592" s="612" t="s">
        <v>1447</v>
      </c>
      <c r="E592" s="611" t="s">
        <v>251</v>
      </c>
      <c r="F592" s="613">
        <v>1</v>
      </c>
      <c r="G592" s="614">
        <v>185</v>
      </c>
      <c r="H592" s="613"/>
      <c r="I592" s="614">
        <f>ROUND(F592*G592,2)</f>
        <v>185</v>
      </c>
      <c r="J592" s="614"/>
      <c r="K592" s="614">
        <f t="shared" ref="K592:K594" si="128">I592+J592</f>
        <v>185</v>
      </c>
      <c r="L592" s="614"/>
      <c r="M592" s="614"/>
      <c r="N592" s="614"/>
      <c r="O592" s="614"/>
      <c r="P592" s="614"/>
    </row>
    <row r="593" spans="1:16" x14ac:dyDescent="0.25">
      <c r="A593" s="611" t="s">
        <v>277</v>
      </c>
      <c r="B593" s="611">
        <v>2436</v>
      </c>
      <c r="C593" s="611"/>
      <c r="D593" s="612" t="s">
        <v>1069</v>
      </c>
      <c r="E593" s="611" t="s">
        <v>229</v>
      </c>
      <c r="F593" s="613">
        <v>0.8</v>
      </c>
      <c r="G593" s="614">
        <v>12.57</v>
      </c>
      <c r="H593" s="613"/>
      <c r="I593" s="614"/>
      <c r="J593" s="614">
        <f>ROUND(F593*G593,2)</f>
        <v>10.06</v>
      </c>
      <c r="K593" s="614">
        <f t="shared" si="128"/>
        <v>10.06</v>
      </c>
      <c r="L593" s="614"/>
      <c r="M593" s="614"/>
      <c r="N593" s="614"/>
      <c r="O593" s="614"/>
      <c r="P593" s="614"/>
    </row>
    <row r="594" spans="1:16" x14ac:dyDescent="0.25">
      <c r="A594" s="611" t="s">
        <v>277</v>
      </c>
      <c r="B594" s="611">
        <v>247</v>
      </c>
      <c r="C594" s="611"/>
      <c r="D594" s="612" t="s">
        <v>1070</v>
      </c>
      <c r="E594" s="611" t="s">
        <v>229</v>
      </c>
      <c r="F594" s="613">
        <v>0.8</v>
      </c>
      <c r="G594" s="614">
        <v>9.65</v>
      </c>
      <c r="H594" s="613"/>
      <c r="I594" s="614"/>
      <c r="J594" s="614">
        <f>ROUND(F594*G594,2)</f>
        <v>7.72</v>
      </c>
      <c r="K594" s="614">
        <f t="shared" si="128"/>
        <v>7.72</v>
      </c>
      <c r="L594" s="614"/>
      <c r="M594" s="614"/>
      <c r="N594" s="614"/>
      <c r="O594" s="614"/>
      <c r="P594" s="614"/>
    </row>
    <row r="595" spans="1:16" x14ac:dyDescent="0.25">
      <c r="A595" s="611"/>
      <c r="B595" s="611"/>
      <c r="C595" s="611"/>
      <c r="D595" s="612"/>
      <c r="E595" s="611"/>
      <c r="F595" s="613"/>
      <c r="G595" s="614"/>
      <c r="H595" s="613"/>
      <c r="I595" s="614"/>
      <c r="J595" s="614"/>
      <c r="K595" s="614"/>
      <c r="L595" s="614"/>
      <c r="M595" s="614"/>
      <c r="N595" s="614"/>
      <c r="O595" s="614"/>
      <c r="P595" s="614"/>
    </row>
    <row r="596" spans="1:16" s="618" customFormat="1" x14ac:dyDescent="0.25">
      <c r="A596" s="615"/>
      <c r="B596" s="615"/>
      <c r="C596" s="615" t="s">
        <v>1448</v>
      </c>
      <c r="D596" s="628" t="s">
        <v>1449</v>
      </c>
      <c r="E596" s="615"/>
      <c r="F596" s="616"/>
      <c r="G596" s="617"/>
      <c r="H596" s="616"/>
      <c r="I596" s="617"/>
      <c r="J596" s="617"/>
      <c r="K596" s="617"/>
      <c r="L596" s="617"/>
      <c r="M596" s="617"/>
      <c r="N596" s="617"/>
      <c r="O596" s="617"/>
      <c r="P596" s="617">
        <f>SUM(P598:P628)</f>
        <v>17321.986224</v>
      </c>
    </row>
    <row r="597" spans="1:16" x14ac:dyDescent="0.25">
      <c r="A597" s="611"/>
      <c r="B597" s="611"/>
      <c r="C597" s="611"/>
      <c r="D597" s="612"/>
      <c r="E597" s="611"/>
      <c r="F597" s="613"/>
      <c r="G597" s="614"/>
      <c r="H597" s="613"/>
      <c r="I597" s="614"/>
      <c r="J597" s="614"/>
      <c r="K597" s="614"/>
      <c r="L597" s="614"/>
      <c r="M597" s="614"/>
      <c r="N597" s="614"/>
      <c r="O597" s="614"/>
      <c r="P597" s="614"/>
    </row>
    <row r="598" spans="1:16" ht="24" x14ac:dyDescent="0.25">
      <c r="A598" s="619"/>
      <c r="B598" s="619"/>
      <c r="C598" s="619" t="s">
        <v>1450</v>
      </c>
      <c r="D598" s="620" t="s">
        <v>1451</v>
      </c>
      <c r="E598" s="619" t="s">
        <v>251</v>
      </c>
      <c r="F598" s="621"/>
      <c r="G598" s="622"/>
      <c r="H598" s="621">
        <v>12</v>
      </c>
      <c r="I598" s="622">
        <f>SUM(I599:I603)</f>
        <v>546.04999999999995</v>
      </c>
      <c r="J598" s="622">
        <f>SUM(J599:J603)</f>
        <v>55.56</v>
      </c>
      <c r="K598" s="622">
        <f>I598+J598</f>
        <v>601.6099999999999</v>
      </c>
      <c r="L598" s="622">
        <f>H598*I598</f>
        <v>6552.5999999999995</v>
      </c>
      <c r="M598" s="622">
        <f>H598*J598</f>
        <v>666.72</v>
      </c>
      <c r="N598" s="622">
        <f>L598+M598</f>
        <v>7219.32</v>
      </c>
      <c r="O598" s="622">
        <f>N598*$P$4</f>
        <v>1773.0649920000001</v>
      </c>
      <c r="P598" s="622">
        <f>N598+O598</f>
        <v>8992.3849919999993</v>
      </c>
    </row>
    <row r="599" spans="1:16" ht="60" x14ac:dyDescent="0.25">
      <c r="A599" s="611" t="s">
        <v>1108</v>
      </c>
      <c r="B599" s="611" t="s">
        <v>1452</v>
      </c>
      <c r="C599" s="611"/>
      <c r="D599" s="612" t="s">
        <v>1453</v>
      </c>
      <c r="E599" s="611" t="s">
        <v>251</v>
      </c>
      <c r="F599" s="613">
        <v>1</v>
      </c>
      <c r="G599" s="614">
        <v>471.29</v>
      </c>
      <c r="H599" s="613"/>
      <c r="I599" s="614">
        <f>ROUND(F599*G599,2)</f>
        <v>471.29</v>
      </c>
      <c r="J599" s="614"/>
      <c r="K599" s="614">
        <f t="shared" ref="K599:K609" si="129">I599+J599</f>
        <v>471.29</v>
      </c>
      <c r="L599" s="614"/>
      <c r="M599" s="614"/>
      <c r="N599" s="614"/>
      <c r="O599" s="614"/>
      <c r="P599" s="614"/>
    </row>
    <row r="600" spans="1:16" x14ac:dyDescent="0.25">
      <c r="A600" s="611" t="s">
        <v>1108</v>
      </c>
      <c r="B600" s="611" t="s">
        <v>1179</v>
      </c>
      <c r="C600" s="611"/>
      <c r="D600" s="612" t="s">
        <v>1454</v>
      </c>
      <c r="E600" s="611" t="s">
        <v>248</v>
      </c>
      <c r="F600" s="613">
        <v>12</v>
      </c>
      <c r="G600" s="614">
        <v>4.8099999999999996</v>
      </c>
      <c r="H600" s="613"/>
      <c r="I600" s="614">
        <f>ROUND(F600*G600,2)</f>
        <v>57.72</v>
      </c>
      <c r="J600" s="614"/>
      <c r="K600" s="614">
        <f t="shared" si="129"/>
        <v>57.72</v>
      </c>
      <c r="L600" s="614"/>
      <c r="M600" s="614"/>
      <c r="N600" s="614"/>
      <c r="O600" s="614"/>
      <c r="P600" s="614"/>
    </row>
    <row r="601" spans="1:16" x14ac:dyDescent="0.25">
      <c r="A601" s="611" t="s">
        <v>1108</v>
      </c>
      <c r="B601" s="611" t="s">
        <v>1455</v>
      </c>
      <c r="C601" s="611"/>
      <c r="D601" s="612" t="s">
        <v>1456</v>
      </c>
      <c r="E601" s="611" t="s">
        <v>251</v>
      </c>
      <c r="F601" s="613">
        <v>2</v>
      </c>
      <c r="G601" s="614">
        <v>8.52</v>
      </c>
      <c r="H601" s="613"/>
      <c r="I601" s="614">
        <f>ROUND(F601*G601,2)</f>
        <v>17.04</v>
      </c>
      <c r="J601" s="614"/>
      <c r="K601" s="614">
        <f t="shared" si="129"/>
        <v>17.04</v>
      </c>
      <c r="L601" s="614"/>
      <c r="M601" s="614"/>
      <c r="N601" s="614"/>
      <c r="O601" s="614"/>
      <c r="P601" s="614"/>
    </row>
    <row r="602" spans="1:16" x14ac:dyDescent="0.25">
      <c r="A602" s="611" t="s">
        <v>277</v>
      </c>
      <c r="B602" s="611">
        <v>2436</v>
      </c>
      <c r="C602" s="611"/>
      <c r="D602" s="612" t="s">
        <v>1069</v>
      </c>
      <c r="E602" s="611" t="s">
        <v>229</v>
      </c>
      <c r="F602" s="613">
        <v>2.5</v>
      </c>
      <c r="G602" s="614">
        <v>12.57</v>
      </c>
      <c r="H602" s="613"/>
      <c r="I602" s="614"/>
      <c r="J602" s="614">
        <f>ROUND(F602*G602,2)</f>
        <v>31.43</v>
      </c>
      <c r="K602" s="614">
        <f t="shared" si="129"/>
        <v>31.43</v>
      </c>
      <c r="L602" s="614"/>
      <c r="M602" s="614"/>
      <c r="N602" s="614"/>
      <c r="O602" s="614"/>
      <c r="P602" s="614"/>
    </row>
    <row r="603" spans="1:16" x14ac:dyDescent="0.25">
      <c r="A603" s="611" t="s">
        <v>277</v>
      </c>
      <c r="B603" s="611">
        <v>247</v>
      </c>
      <c r="C603" s="611"/>
      <c r="D603" s="612" t="s">
        <v>1070</v>
      </c>
      <c r="E603" s="611" t="s">
        <v>229</v>
      </c>
      <c r="F603" s="613">
        <v>2.5</v>
      </c>
      <c r="G603" s="614">
        <v>9.65</v>
      </c>
      <c r="H603" s="613"/>
      <c r="I603" s="614"/>
      <c r="J603" s="614">
        <f>ROUND(F603*G603,2)</f>
        <v>24.13</v>
      </c>
      <c r="K603" s="614">
        <f t="shared" si="129"/>
        <v>24.13</v>
      </c>
      <c r="L603" s="614"/>
      <c r="M603" s="614"/>
      <c r="N603" s="614"/>
      <c r="O603" s="614"/>
      <c r="P603" s="614"/>
    </row>
    <row r="604" spans="1:16" ht="24" x14ac:dyDescent="0.25">
      <c r="A604" s="619"/>
      <c r="B604" s="619"/>
      <c r="C604" s="619" t="s">
        <v>1457</v>
      </c>
      <c r="D604" s="620" t="s">
        <v>1458</v>
      </c>
      <c r="E604" s="619" t="s">
        <v>251</v>
      </c>
      <c r="F604" s="621"/>
      <c r="G604" s="622"/>
      <c r="H604" s="621">
        <v>11</v>
      </c>
      <c r="I604" s="622">
        <f>SUM(I605:I609)</f>
        <v>180.11</v>
      </c>
      <c r="J604" s="622">
        <f>SUM(J605:J609)</f>
        <v>44.44</v>
      </c>
      <c r="K604" s="622">
        <f>I604+J604</f>
        <v>224.55</v>
      </c>
      <c r="L604" s="622">
        <f>H604*I604</f>
        <v>1981.21</v>
      </c>
      <c r="M604" s="622">
        <f>H604*J604</f>
        <v>488.84</v>
      </c>
      <c r="N604" s="622">
        <f>L604+M604</f>
        <v>2470.0500000000002</v>
      </c>
      <c r="O604" s="622">
        <f>N604*$P$4</f>
        <v>606.64428000000009</v>
      </c>
      <c r="P604" s="622">
        <f>N604+O604</f>
        <v>3076.6942800000002</v>
      </c>
    </row>
    <row r="605" spans="1:16" ht="36" x14ac:dyDescent="0.25">
      <c r="A605" s="611" t="s">
        <v>1108</v>
      </c>
      <c r="B605" s="611" t="s">
        <v>1452</v>
      </c>
      <c r="C605" s="611"/>
      <c r="D605" s="612" t="s">
        <v>1459</v>
      </c>
      <c r="E605" s="611" t="s">
        <v>251</v>
      </c>
      <c r="F605" s="613">
        <v>1</v>
      </c>
      <c r="G605" s="614">
        <v>116.61</v>
      </c>
      <c r="H605" s="613"/>
      <c r="I605" s="614">
        <f>ROUND(F605*G605,2)</f>
        <v>116.61</v>
      </c>
      <c r="J605" s="614"/>
      <c r="K605" s="614">
        <f t="shared" si="129"/>
        <v>116.61</v>
      </c>
      <c r="L605" s="614"/>
      <c r="M605" s="614"/>
      <c r="N605" s="614"/>
      <c r="O605" s="614"/>
      <c r="P605" s="614"/>
    </row>
    <row r="606" spans="1:16" x14ac:dyDescent="0.25">
      <c r="A606" s="611" t="s">
        <v>1108</v>
      </c>
      <c r="B606" s="611" t="s">
        <v>1452</v>
      </c>
      <c r="C606" s="611"/>
      <c r="D606" s="612" t="s">
        <v>1460</v>
      </c>
      <c r="E606" s="611" t="s">
        <v>251</v>
      </c>
      <c r="F606" s="613">
        <v>1</v>
      </c>
      <c r="G606" s="614">
        <v>43.5</v>
      </c>
      <c r="H606" s="613"/>
      <c r="I606" s="614">
        <f>ROUND(F606*G606,2)</f>
        <v>43.5</v>
      </c>
      <c r="J606" s="614"/>
      <c r="K606" s="614">
        <f t="shared" si="129"/>
        <v>43.5</v>
      </c>
      <c r="L606" s="614"/>
      <c r="M606" s="614"/>
      <c r="N606" s="614"/>
      <c r="O606" s="614"/>
      <c r="P606" s="614"/>
    </row>
    <row r="607" spans="1:16" ht="24" x14ac:dyDescent="0.25">
      <c r="A607" s="611" t="s">
        <v>1108</v>
      </c>
      <c r="B607" s="611" t="s">
        <v>1452</v>
      </c>
      <c r="C607" s="611"/>
      <c r="D607" s="612" t="s">
        <v>1461</v>
      </c>
      <c r="E607" s="611" t="s">
        <v>251</v>
      </c>
      <c r="F607" s="613">
        <v>1</v>
      </c>
      <c r="G607" s="614">
        <v>20</v>
      </c>
      <c r="H607" s="613"/>
      <c r="I607" s="614">
        <f>ROUND(F607*G607,2)</f>
        <v>20</v>
      </c>
      <c r="J607" s="614"/>
      <c r="K607" s="614">
        <f t="shared" si="129"/>
        <v>20</v>
      </c>
      <c r="L607" s="614"/>
      <c r="M607" s="614"/>
      <c r="N607" s="614"/>
      <c r="O607" s="614"/>
      <c r="P607" s="614"/>
    </row>
    <row r="608" spans="1:16" x14ac:dyDescent="0.25">
      <c r="A608" s="611" t="s">
        <v>277</v>
      </c>
      <c r="B608" s="611">
        <v>2436</v>
      </c>
      <c r="C608" s="611"/>
      <c r="D608" s="612" t="s">
        <v>1069</v>
      </c>
      <c r="E608" s="611" t="s">
        <v>229</v>
      </c>
      <c r="F608" s="613">
        <v>2</v>
      </c>
      <c r="G608" s="614">
        <v>12.57</v>
      </c>
      <c r="H608" s="613"/>
      <c r="I608" s="614"/>
      <c r="J608" s="614">
        <f>ROUND(F608*G608,2)</f>
        <v>25.14</v>
      </c>
      <c r="K608" s="614">
        <f t="shared" si="129"/>
        <v>25.14</v>
      </c>
      <c r="L608" s="614"/>
      <c r="M608" s="614"/>
      <c r="N608" s="614"/>
      <c r="O608" s="614"/>
      <c r="P608" s="614"/>
    </row>
    <row r="609" spans="1:16" x14ac:dyDescent="0.25">
      <c r="A609" s="611" t="s">
        <v>277</v>
      </c>
      <c r="B609" s="611">
        <v>247</v>
      </c>
      <c r="C609" s="611"/>
      <c r="D609" s="612" t="s">
        <v>1070</v>
      </c>
      <c r="E609" s="611" t="s">
        <v>229</v>
      </c>
      <c r="F609" s="613">
        <v>2</v>
      </c>
      <c r="G609" s="614">
        <v>9.65</v>
      </c>
      <c r="H609" s="613"/>
      <c r="I609" s="614"/>
      <c r="J609" s="614">
        <f>ROUND(F609*G609,2)</f>
        <v>19.3</v>
      </c>
      <c r="K609" s="614">
        <f t="shared" si="129"/>
        <v>19.3</v>
      </c>
      <c r="L609" s="614"/>
      <c r="M609" s="614"/>
      <c r="N609" s="614"/>
      <c r="O609" s="614"/>
      <c r="P609" s="614"/>
    </row>
    <row r="610" spans="1:16" ht="24" x14ac:dyDescent="0.25">
      <c r="A610" s="619"/>
      <c r="B610" s="619"/>
      <c r="C610" s="619" t="s">
        <v>1462</v>
      </c>
      <c r="D610" s="620" t="s">
        <v>1463</v>
      </c>
      <c r="E610" s="619" t="s">
        <v>251</v>
      </c>
      <c r="F610" s="621"/>
      <c r="G610" s="622"/>
      <c r="H610" s="621">
        <v>11</v>
      </c>
      <c r="I610" s="622">
        <f>SUM(I611:I613)</f>
        <v>76.63</v>
      </c>
      <c r="J610" s="622">
        <f>SUM(J611:J613)</f>
        <v>44.44</v>
      </c>
      <c r="K610" s="622">
        <f>I610+J610</f>
        <v>121.07</v>
      </c>
      <c r="L610" s="622">
        <f>H610*I610</f>
        <v>842.93</v>
      </c>
      <c r="M610" s="622">
        <f>H610*J610</f>
        <v>488.84</v>
      </c>
      <c r="N610" s="622">
        <f>L610+M610</f>
        <v>1331.77</v>
      </c>
      <c r="O610" s="622">
        <f>N610*$P$4</f>
        <v>327.08271200000001</v>
      </c>
      <c r="P610" s="622">
        <f>N610+O610</f>
        <v>1658.8527119999999</v>
      </c>
    </row>
    <row r="611" spans="1:16" ht="48" x14ac:dyDescent="0.25">
      <c r="A611" s="611" t="s">
        <v>1108</v>
      </c>
      <c r="B611" s="611" t="s">
        <v>1452</v>
      </c>
      <c r="C611" s="611"/>
      <c r="D611" s="612" t="s">
        <v>1464</v>
      </c>
      <c r="E611" s="611" t="s">
        <v>251</v>
      </c>
      <c r="F611" s="613">
        <v>1</v>
      </c>
      <c r="G611" s="614">
        <v>76.63</v>
      </c>
      <c r="H611" s="613"/>
      <c r="I611" s="614">
        <f>ROUND(F611*G611,2)</f>
        <v>76.63</v>
      </c>
      <c r="J611" s="614"/>
      <c r="K611" s="614"/>
      <c r="L611" s="614"/>
      <c r="M611" s="614"/>
      <c r="N611" s="614"/>
      <c r="O611" s="614"/>
      <c r="P611" s="614"/>
    </row>
    <row r="612" spans="1:16" x14ac:dyDescent="0.25">
      <c r="A612" s="611" t="s">
        <v>277</v>
      </c>
      <c r="B612" s="611">
        <v>2436</v>
      </c>
      <c r="C612" s="611"/>
      <c r="D612" s="612" t="s">
        <v>1069</v>
      </c>
      <c r="E612" s="611" t="s">
        <v>229</v>
      </c>
      <c r="F612" s="613">
        <v>2</v>
      </c>
      <c r="G612" s="614">
        <v>12.57</v>
      </c>
      <c r="H612" s="613"/>
      <c r="I612" s="614"/>
      <c r="J612" s="614">
        <f>ROUND(F612*G612,2)</f>
        <v>25.14</v>
      </c>
      <c r="K612" s="614"/>
      <c r="L612" s="614"/>
      <c r="M612" s="614"/>
      <c r="N612" s="614"/>
      <c r="O612" s="614"/>
      <c r="P612" s="614"/>
    </row>
    <row r="613" spans="1:16" x14ac:dyDescent="0.25">
      <c r="A613" s="611" t="s">
        <v>277</v>
      </c>
      <c r="B613" s="611">
        <v>247</v>
      </c>
      <c r="C613" s="611"/>
      <c r="D613" s="612" t="s">
        <v>1070</v>
      </c>
      <c r="E613" s="611" t="s">
        <v>229</v>
      </c>
      <c r="F613" s="613">
        <v>2</v>
      </c>
      <c r="G613" s="614">
        <v>9.65</v>
      </c>
      <c r="H613" s="613"/>
      <c r="I613" s="614"/>
      <c r="J613" s="614">
        <f>ROUND(F613*G613,2)</f>
        <v>19.3</v>
      </c>
      <c r="K613" s="614"/>
      <c r="L613" s="614"/>
      <c r="M613" s="614"/>
      <c r="N613" s="614"/>
      <c r="O613" s="614"/>
      <c r="P613" s="614"/>
    </row>
    <row r="614" spans="1:16" ht="24" x14ac:dyDescent="0.25">
      <c r="A614" s="619"/>
      <c r="B614" s="619"/>
      <c r="C614" s="619" t="s">
        <v>1465</v>
      </c>
      <c r="D614" s="630" t="s">
        <v>1466</v>
      </c>
      <c r="E614" s="631" t="s">
        <v>251</v>
      </c>
      <c r="F614" s="632"/>
      <c r="G614" s="622"/>
      <c r="H614" s="621">
        <v>86</v>
      </c>
      <c r="I614" s="622">
        <f>SUM(I615:I616)</f>
        <v>8.48</v>
      </c>
      <c r="J614" s="622">
        <f>SUM(J615:J616)</f>
        <v>0.97</v>
      </c>
      <c r="K614" s="622">
        <f>I614+J614</f>
        <v>9.4500000000000011</v>
      </c>
      <c r="L614" s="622">
        <f>H614*I614</f>
        <v>729.28000000000009</v>
      </c>
      <c r="M614" s="622">
        <f>H614*J614</f>
        <v>83.42</v>
      </c>
      <c r="N614" s="622">
        <f>L614+M614</f>
        <v>812.7</v>
      </c>
      <c r="O614" s="622">
        <f>N614*$P$4</f>
        <v>199.59912000000003</v>
      </c>
      <c r="P614" s="622">
        <f>N614+O614</f>
        <v>1012.2991200000001</v>
      </c>
    </row>
    <row r="615" spans="1:16" ht="24" x14ac:dyDescent="0.25">
      <c r="A615" s="611" t="s">
        <v>1108</v>
      </c>
      <c r="B615" s="611" t="s">
        <v>1452</v>
      </c>
      <c r="C615" s="611"/>
      <c r="D615" s="633" t="s">
        <v>1467</v>
      </c>
      <c r="E615" s="634"/>
      <c r="F615" s="635">
        <v>1</v>
      </c>
      <c r="G615" s="614">
        <v>8.48</v>
      </c>
      <c r="H615" s="613"/>
      <c r="I615" s="614">
        <f>ROUND(F615*G615,2)</f>
        <v>8.48</v>
      </c>
      <c r="J615" s="614"/>
      <c r="K615" s="614">
        <f t="shared" ref="K615:K620" si="130">I615+J615</f>
        <v>8.48</v>
      </c>
      <c r="L615" s="614"/>
      <c r="M615" s="614"/>
      <c r="N615" s="614"/>
      <c r="O615" s="614"/>
      <c r="P615" s="614"/>
    </row>
    <row r="616" spans="1:16" x14ac:dyDescent="0.25">
      <c r="A616" s="611" t="s">
        <v>277</v>
      </c>
      <c r="B616" s="611">
        <v>247</v>
      </c>
      <c r="C616" s="611"/>
      <c r="D616" s="635" t="s">
        <v>1070</v>
      </c>
      <c r="E616" s="634" t="s">
        <v>229</v>
      </c>
      <c r="F616" s="635">
        <v>0.1</v>
      </c>
      <c r="G616" s="614">
        <v>9.65</v>
      </c>
      <c r="H616" s="613"/>
      <c r="I616" s="614"/>
      <c r="J616" s="614">
        <f>ROUND(F616*G616,2)</f>
        <v>0.97</v>
      </c>
      <c r="K616" s="614">
        <f t="shared" si="130"/>
        <v>0.97</v>
      </c>
      <c r="L616" s="614"/>
      <c r="M616" s="614"/>
      <c r="N616" s="614"/>
      <c r="O616" s="614"/>
      <c r="P616" s="614"/>
    </row>
    <row r="617" spans="1:16" ht="24" x14ac:dyDescent="0.25">
      <c r="A617" s="619"/>
      <c r="B617" s="619"/>
      <c r="C617" s="619" t="s">
        <v>1468</v>
      </c>
      <c r="D617" s="620" t="s">
        <v>1469</v>
      </c>
      <c r="E617" s="619" t="s">
        <v>251</v>
      </c>
      <c r="F617" s="621"/>
      <c r="G617" s="622"/>
      <c r="H617" s="621">
        <v>78</v>
      </c>
      <c r="I617" s="622">
        <f>SUM(I618:I620)</f>
        <v>4.08</v>
      </c>
      <c r="J617" s="622">
        <f>SUM(J618:J620)</f>
        <v>4.67</v>
      </c>
      <c r="K617" s="622">
        <f>I617+J617</f>
        <v>8.75</v>
      </c>
      <c r="L617" s="622">
        <f>H617*I617</f>
        <v>318.24</v>
      </c>
      <c r="M617" s="622">
        <f>H617*J617</f>
        <v>364.26</v>
      </c>
      <c r="N617" s="622">
        <f>L617+M617</f>
        <v>682.5</v>
      </c>
      <c r="O617" s="622">
        <f>N617*$P$4</f>
        <v>167.62200000000001</v>
      </c>
      <c r="P617" s="622">
        <f>N617+O617</f>
        <v>850.12200000000007</v>
      </c>
    </row>
    <row r="618" spans="1:16" ht="36" x14ac:dyDescent="0.25">
      <c r="A618" s="611" t="s">
        <v>1108</v>
      </c>
      <c r="B618" s="611" t="s">
        <v>1452</v>
      </c>
      <c r="C618" s="611"/>
      <c r="D618" s="612" t="s">
        <v>1470</v>
      </c>
      <c r="E618" s="611" t="s">
        <v>251</v>
      </c>
      <c r="F618" s="613">
        <v>1</v>
      </c>
      <c r="G618" s="614">
        <v>4.08</v>
      </c>
      <c r="H618" s="613"/>
      <c r="I618" s="614">
        <f>ROUND(F618*G618,2)</f>
        <v>4.08</v>
      </c>
      <c r="J618" s="614"/>
      <c r="K618" s="614">
        <f t="shared" si="130"/>
        <v>4.08</v>
      </c>
      <c r="L618" s="614"/>
      <c r="M618" s="614"/>
      <c r="N618" s="614"/>
      <c r="O618" s="614"/>
      <c r="P618" s="614"/>
    </row>
    <row r="619" spans="1:16" x14ac:dyDescent="0.25">
      <c r="A619" s="611" t="s">
        <v>277</v>
      </c>
      <c r="B619" s="611">
        <v>2436</v>
      </c>
      <c r="C619" s="611"/>
      <c r="D619" s="612" t="s">
        <v>1069</v>
      </c>
      <c r="E619" s="611" t="s">
        <v>229</v>
      </c>
      <c r="F619" s="613">
        <v>0.21</v>
      </c>
      <c r="G619" s="614">
        <v>12.57</v>
      </c>
      <c r="H619" s="613"/>
      <c r="I619" s="614"/>
      <c r="J619" s="614">
        <f>ROUND(F619*G619,2)</f>
        <v>2.64</v>
      </c>
      <c r="K619" s="614">
        <f t="shared" si="130"/>
        <v>2.64</v>
      </c>
      <c r="L619" s="614"/>
      <c r="M619" s="614"/>
      <c r="N619" s="614"/>
      <c r="O619" s="614"/>
      <c r="P619" s="614"/>
    </row>
    <row r="620" spans="1:16" x14ac:dyDescent="0.25">
      <c r="A620" s="611" t="s">
        <v>277</v>
      </c>
      <c r="B620" s="611">
        <v>247</v>
      </c>
      <c r="C620" s="611"/>
      <c r="D620" s="612" t="s">
        <v>1070</v>
      </c>
      <c r="E620" s="611" t="s">
        <v>229</v>
      </c>
      <c r="F620" s="613">
        <v>0.21</v>
      </c>
      <c r="G620" s="614">
        <v>9.65</v>
      </c>
      <c r="H620" s="613"/>
      <c r="I620" s="614"/>
      <c r="J620" s="614">
        <f>ROUND(F620*G620,2)</f>
        <v>2.0299999999999998</v>
      </c>
      <c r="K620" s="614">
        <f t="shared" si="130"/>
        <v>2.0299999999999998</v>
      </c>
      <c r="L620" s="614"/>
      <c r="M620" s="614"/>
      <c r="N620" s="614"/>
      <c r="O620" s="614"/>
      <c r="P620" s="614"/>
    </row>
    <row r="621" spans="1:16" ht="24" x14ac:dyDescent="0.25">
      <c r="A621" s="619"/>
      <c r="B621" s="619"/>
      <c r="C621" s="619" t="s">
        <v>1471</v>
      </c>
      <c r="D621" s="620" t="s">
        <v>1472</v>
      </c>
      <c r="E621" s="619" t="s">
        <v>251</v>
      </c>
      <c r="F621" s="621"/>
      <c r="G621" s="622"/>
      <c r="H621" s="621">
        <v>152</v>
      </c>
      <c r="I621" s="622">
        <f>SUM(I622:I624)</f>
        <v>4.08</v>
      </c>
      <c r="J621" s="622">
        <f>SUM(J622:J624)</f>
        <v>4.67</v>
      </c>
      <c r="K621" s="622">
        <f>I621+J621</f>
        <v>8.75</v>
      </c>
      <c r="L621" s="622">
        <f>H621*I621</f>
        <v>620.16</v>
      </c>
      <c r="M621" s="622">
        <f>H621*J621</f>
        <v>709.84</v>
      </c>
      <c r="N621" s="622">
        <f>L621+M621</f>
        <v>1330</v>
      </c>
      <c r="O621" s="622">
        <f>N621*$P$4</f>
        <v>326.64800000000002</v>
      </c>
      <c r="P621" s="622">
        <f>N621+O621</f>
        <v>1656.6480000000001</v>
      </c>
    </row>
    <row r="622" spans="1:16" ht="36" x14ac:dyDescent="0.25">
      <c r="A622" s="611" t="s">
        <v>1108</v>
      </c>
      <c r="B622" s="611" t="s">
        <v>1452</v>
      </c>
      <c r="C622" s="611"/>
      <c r="D622" s="612" t="s">
        <v>1473</v>
      </c>
      <c r="E622" s="611" t="s">
        <v>251</v>
      </c>
      <c r="F622" s="613">
        <v>1</v>
      </c>
      <c r="G622" s="614">
        <v>4.08</v>
      </c>
      <c r="H622" s="613"/>
      <c r="I622" s="614">
        <f>ROUND(F622*G622,2)</f>
        <v>4.08</v>
      </c>
      <c r="J622" s="614"/>
      <c r="K622" s="614">
        <f t="shared" ref="K622:K627" si="131">I622+J622</f>
        <v>4.08</v>
      </c>
      <c r="L622" s="614"/>
      <c r="M622" s="614"/>
      <c r="N622" s="614"/>
      <c r="O622" s="614"/>
      <c r="P622" s="614"/>
    </row>
    <row r="623" spans="1:16" x14ac:dyDescent="0.25">
      <c r="A623" s="611" t="s">
        <v>277</v>
      </c>
      <c r="B623" s="611">
        <v>2436</v>
      </c>
      <c r="C623" s="611"/>
      <c r="D623" s="612" t="s">
        <v>1069</v>
      </c>
      <c r="E623" s="611" t="s">
        <v>229</v>
      </c>
      <c r="F623" s="613">
        <v>0.21</v>
      </c>
      <c r="G623" s="614">
        <v>12.57</v>
      </c>
      <c r="H623" s="613"/>
      <c r="I623" s="614"/>
      <c r="J623" s="614">
        <f>ROUND(F623*G623,2)</f>
        <v>2.64</v>
      </c>
      <c r="K623" s="614">
        <f t="shared" si="131"/>
        <v>2.64</v>
      </c>
      <c r="L623" s="614"/>
      <c r="M623" s="614"/>
      <c r="N623" s="614"/>
      <c r="O623" s="614"/>
      <c r="P623" s="614"/>
    </row>
    <row r="624" spans="1:16" x14ac:dyDescent="0.25">
      <c r="A624" s="611" t="s">
        <v>277</v>
      </c>
      <c r="B624" s="611">
        <v>247</v>
      </c>
      <c r="C624" s="611"/>
      <c r="D624" s="612" t="s">
        <v>1070</v>
      </c>
      <c r="E624" s="611" t="s">
        <v>229</v>
      </c>
      <c r="F624" s="613">
        <v>0.21</v>
      </c>
      <c r="G624" s="614">
        <v>9.65</v>
      </c>
      <c r="H624" s="613"/>
      <c r="I624" s="614"/>
      <c r="J624" s="614">
        <f>ROUND(F624*G624,2)</f>
        <v>2.0299999999999998</v>
      </c>
      <c r="K624" s="614">
        <f t="shared" si="131"/>
        <v>2.0299999999999998</v>
      </c>
      <c r="L624" s="614"/>
      <c r="M624" s="614"/>
      <c r="N624" s="614"/>
      <c r="O624" s="614"/>
      <c r="P624" s="614"/>
    </row>
    <row r="625" spans="1:16" ht="24" x14ac:dyDescent="0.25">
      <c r="A625" s="619"/>
      <c r="B625" s="619"/>
      <c r="C625" s="619" t="s">
        <v>1474</v>
      </c>
      <c r="D625" s="620" t="s">
        <v>1475</v>
      </c>
      <c r="E625" s="619" t="s">
        <v>251</v>
      </c>
      <c r="F625" s="621"/>
      <c r="G625" s="622"/>
      <c r="H625" s="621">
        <v>28</v>
      </c>
      <c r="I625" s="622">
        <f>SUM(I626:I627)</f>
        <v>1.18</v>
      </c>
      <c r="J625" s="622">
        <f>SUM(J626:J627)</f>
        <v>0.97</v>
      </c>
      <c r="K625" s="622">
        <f>I625+J625</f>
        <v>2.15</v>
      </c>
      <c r="L625" s="622">
        <f>H625*I625</f>
        <v>33.04</v>
      </c>
      <c r="M625" s="622">
        <f>H625*J625</f>
        <v>27.16</v>
      </c>
      <c r="N625" s="622">
        <f>L625+M625</f>
        <v>60.2</v>
      </c>
      <c r="O625" s="622">
        <f>N625*$P$4</f>
        <v>14.785120000000001</v>
      </c>
      <c r="P625" s="622">
        <f>N625+O625</f>
        <v>74.985120000000009</v>
      </c>
    </row>
    <row r="626" spans="1:16" ht="24" x14ac:dyDescent="0.25">
      <c r="A626" s="611" t="s">
        <v>1108</v>
      </c>
      <c r="B626" s="611" t="s">
        <v>1452</v>
      </c>
      <c r="C626" s="611"/>
      <c r="D626" s="612" t="s">
        <v>1476</v>
      </c>
      <c r="E626" s="611" t="s">
        <v>251</v>
      </c>
      <c r="F626" s="613">
        <v>1</v>
      </c>
      <c r="G626" s="614">
        <v>1.18</v>
      </c>
      <c r="H626" s="613"/>
      <c r="I626" s="614">
        <f>ROUND(F626*G626,2)</f>
        <v>1.18</v>
      </c>
      <c r="J626" s="614"/>
      <c r="K626" s="614">
        <f t="shared" si="131"/>
        <v>1.18</v>
      </c>
      <c r="L626" s="614"/>
      <c r="M626" s="614"/>
      <c r="N626" s="614"/>
      <c r="O626" s="614"/>
      <c r="P626" s="614"/>
    </row>
    <row r="627" spans="1:16" x14ac:dyDescent="0.25">
      <c r="A627" s="611" t="s">
        <v>277</v>
      </c>
      <c r="B627" s="611">
        <v>247</v>
      </c>
      <c r="C627" s="611"/>
      <c r="D627" s="612" t="s">
        <v>1070</v>
      </c>
      <c r="E627" s="611" t="s">
        <v>229</v>
      </c>
      <c r="F627" s="613">
        <v>0.1</v>
      </c>
      <c r="G627" s="614">
        <v>9.65</v>
      </c>
      <c r="H627" s="613"/>
      <c r="I627" s="614"/>
      <c r="J627" s="614">
        <f>ROUND(F627*G627,2)</f>
        <v>0.97</v>
      </c>
      <c r="K627" s="614">
        <f t="shared" si="131"/>
        <v>0.97</v>
      </c>
      <c r="L627" s="614"/>
      <c r="M627" s="614"/>
      <c r="N627" s="614"/>
      <c r="O627" s="614"/>
      <c r="P627" s="614"/>
    </row>
    <row r="628" spans="1:16" x14ac:dyDescent="0.25">
      <c r="A628" s="611"/>
      <c r="B628" s="611"/>
      <c r="C628" s="611"/>
      <c r="D628" s="612"/>
      <c r="E628" s="611"/>
      <c r="F628" s="613"/>
      <c r="G628" s="614"/>
      <c r="H628" s="613"/>
      <c r="I628" s="614"/>
      <c r="J628" s="614"/>
      <c r="K628" s="614"/>
      <c r="L628" s="614"/>
      <c r="M628" s="614"/>
      <c r="N628" s="614"/>
      <c r="O628" s="614"/>
      <c r="P628" s="614"/>
    </row>
    <row r="629" spans="1:16" s="618" customFormat="1" x14ac:dyDescent="0.25">
      <c r="A629" s="615"/>
      <c r="B629" s="615"/>
      <c r="C629" s="615" t="s">
        <v>1477</v>
      </c>
      <c r="D629" s="628" t="s">
        <v>1478</v>
      </c>
      <c r="E629" s="615"/>
      <c r="F629" s="616"/>
      <c r="G629" s="617"/>
      <c r="H629" s="616"/>
      <c r="I629" s="617"/>
      <c r="J629" s="617"/>
      <c r="K629" s="617"/>
      <c r="L629" s="617"/>
      <c r="M629" s="617"/>
      <c r="N629" s="617"/>
      <c r="O629" s="617"/>
      <c r="P629" s="617">
        <f>SUM(P631:P720)</f>
        <v>71871.032807999989</v>
      </c>
    </row>
    <row r="630" spans="1:16" x14ac:dyDescent="0.25">
      <c r="A630" s="611"/>
      <c r="B630" s="611"/>
      <c r="C630" s="611"/>
      <c r="D630" s="612"/>
      <c r="E630" s="611"/>
      <c r="F630" s="613"/>
      <c r="G630" s="614"/>
      <c r="H630" s="613"/>
      <c r="I630" s="614"/>
      <c r="J630" s="614"/>
      <c r="K630" s="614"/>
      <c r="L630" s="614"/>
      <c r="M630" s="614"/>
      <c r="N630" s="614"/>
      <c r="O630" s="614"/>
      <c r="P630" s="614"/>
    </row>
    <row r="631" spans="1:16" ht="24" x14ac:dyDescent="0.25">
      <c r="A631" s="619"/>
      <c r="B631" s="619"/>
      <c r="C631" s="619" t="s">
        <v>1479</v>
      </c>
      <c r="D631" s="620" t="s">
        <v>1480</v>
      </c>
      <c r="E631" s="619" t="s">
        <v>251</v>
      </c>
      <c r="F631" s="621"/>
      <c r="G631" s="622"/>
      <c r="H631" s="621">
        <v>8</v>
      </c>
      <c r="I631" s="622">
        <f>SUM(I632:I635)</f>
        <v>23.3</v>
      </c>
      <c r="J631" s="622">
        <f>SUM(J632:J635)</f>
        <v>11.120000000000001</v>
      </c>
      <c r="K631" s="622">
        <f>I631+J631</f>
        <v>34.42</v>
      </c>
      <c r="L631" s="622">
        <f>H631*I631</f>
        <v>186.4</v>
      </c>
      <c r="M631" s="622">
        <f>H631*J631</f>
        <v>88.960000000000008</v>
      </c>
      <c r="N631" s="622">
        <f>L631+M631</f>
        <v>275.36</v>
      </c>
      <c r="O631" s="622">
        <f>N631*$P$4</f>
        <v>67.628416000000001</v>
      </c>
      <c r="P631" s="622">
        <f>N631+O631</f>
        <v>342.98841600000003</v>
      </c>
    </row>
    <row r="632" spans="1:16" ht="60" x14ac:dyDescent="0.25">
      <c r="A632" s="611" t="s">
        <v>1108</v>
      </c>
      <c r="B632" s="611" t="s">
        <v>1481</v>
      </c>
      <c r="C632" s="611"/>
      <c r="D632" s="612" t="s">
        <v>1482</v>
      </c>
      <c r="E632" s="611" t="s">
        <v>251</v>
      </c>
      <c r="F632" s="613">
        <v>1</v>
      </c>
      <c r="G632" s="614">
        <v>23</v>
      </c>
      <c r="H632" s="613"/>
      <c r="I632" s="614">
        <f>ROUND(F632*G632,2)</f>
        <v>23</v>
      </c>
      <c r="J632" s="614"/>
      <c r="K632" s="614">
        <f>I632+J632</f>
        <v>23</v>
      </c>
      <c r="L632" s="614"/>
      <c r="M632" s="614"/>
      <c r="N632" s="614"/>
      <c r="O632" s="614"/>
      <c r="P632" s="614"/>
    </row>
    <row r="633" spans="1:16" x14ac:dyDescent="0.25">
      <c r="A633" s="611" t="s">
        <v>277</v>
      </c>
      <c r="B633" s="611">
        <v>11950</v>
      </c>
      <c r="C633" s="611"/>
      <c r="D633" s="612" t="s">
        <v>1483</v>
      </c>
      <c r="E633" s="611" t="s">
        <v>251</v>
      </c>
      <c r="F633" s="613">
        <v>2</v>
      </c>
      <c r="G633" s="614">
        <v>0.15</v>
      </c>
      <c r="H633" s="613"/>
      <c r="I633" s="614">
        <f>ROUND(F633*G633,2)</f>
        <v>0.3</v>
      </c>
      <c r="J633" s="614"/>
      <c r="K633" s="614">
        <f>I633+J633</f>
        <v>0.3</v>
      </c>
      <c r="L633" s="614"/>
      <c r="M633" s="614"/>
      <c r="N633" s="614"/>
      <c r="O633" s="614"/>
      <c r="P633" s="614"/>
    </row>
    <row r="634" spans="1:16" x14ac:dyDescent="0.25">
      <c r="A634" s="611" t="s">
        <v>277</v>
      </c>
      <c r="B634" s="611">
        <v>2436</v>
      </c>
      <c r="C634" s="611"/>
      <c r="D634" s="612" t="s">
        <v>1069</v>
      </c>
      <c r="E634" s="611" t="s">
        <v>229</v>
      </c>
      <c r="F634" s="613">
        <v>0.5</v>
      </c>
      <c r="G634" s="614">
        <v>12.57</v>
      </c>
      <c r="H634" s="613"/>
      <c r="I634" s="614"/>
      <c r="J634" s="614">
        <f>ROUND(F634*G634,2)</f>
        <v>6.29</v>
      </c>
      <c r="K634" s="614">
        <f t="shared" ref="K634:K635" si="132">I634+J634</f>
        <v>6.29</v>
      </c>
      <c r="L634" s="614"/>
      <c r="M634" s="614"/>
      <c r="N634" s="614"/>
      <c r="O634" s="614"/>
      <c r="P634" s="614"/>
    </row>
    <row r="635" spans="1:16" x14ac:dyDescent="0.25">
      <c r="A635" s="611" t="s">
        <v>277</v>
      </c>
      <c r="B635" s="611">
        <v>247</v>
      </c>
      <c r="C635" s="611"/>
      <c r="D635" s="612" t="s">
        <v>1070</v>
      </c>
      <c r="E635" s="611" t="s">
        <v>229</v>
      </c>
      <c r="F635" s="613">
        <v>0.5</v>
      </c>
      <c r="G635" s="614">
        <v>9.65</v>
      </c>
      <c r="H635" s="613"/>
      <c r="I635" s="614"/>
      <c r="J635" s="614">
        <f>ROUND(F635*G635,2)</f>
        <v>4.83</v>
      </c>
      <c r="K635" s="614">
        <f t="shared" si="132"/>
        <v>4.83</v>
      </c>
      <c r="L635" s="614"/>
      <c r="M635" s="614"/>
      <c r="N635" s="614"/>
      <c r="O635" s="614"/>
      <c r="P635" s="614"/>
    </row>
    <row r="636" spans="1:16" ht="24" x14ac:dyDescent="0.25">
      <c r="A636" s="619"/>
      <c r="B636" s="619"/>
      <c r="C636" s="619" t="s">
        <v>1484</v>
      </c>
      <c r="D636" s="620" t="s">
        <v>1485</v>
      </c>
      <c r="E636" s="619" t="s">
        <v>251</v>
      </c>
      <c r="F636" s="621"/>
      <c r="G636" s="622"/>
      <c r="H636" s="621">
        <v>51</v>
      </c>
      <c r="I636" s="622">
        <f>SUM(I637:I642)</f>
        <v>31.869999999999997</v>
      </c>
      <c r="J636" s="622">
        <f>SUM(J637:J642)</f>
        <v>17.78</v>
      </c>
      <c r="K636" s="622">
        <f>I636+J636</f>
        <v>49.65</v>
      </c>
      <c r="L636" s="622">
        <f>H636*I636</f>
        <v>1625.37</v>
      </c>
      <c r="M636" s="622">
        <f>H636*J636</f>
        <v>906.78000000000009</v>
      </c>
      <c r="N636" s="622">
        <f>L636+M636</f>
        <v>2532.15</v>
      </c>
      <c r="O636" s="622">
        <f>N636*$P$4</f>
        <v>621.89604000000008</v>
      </c>
      <c r="P636" s="622">
        <f>N636+O636</f>
        <v>3154.0460400000002</v>
      </c>
    </row>
    <row r="637" spans="1:16" ht="60" x14ac:dyDescent="0.25">
      <c r="A637" s="611" t="s">
        <v>1108</v>
      </c>
      <c r="B637" s="611" t="s">
        <v>1481</v>
      </c>
      <c r="C637" s="611"/>
      <c r="D637" s="612" t="s">
        <v>1482</v>
      </c>
      <c r="E637" s="611" t="s">
        <v>251</v>
      </c>
      <c r="F637" s="613">
        <v>1</v>
      </c>
      <c r="G637" s="614">
        <v>23</v>
      </c>
      <c r="H637" s="613"/>
      <c r="I637" s="614">
        <f>ROUND(F637*G637,2)</f>
        <v>23</v>
      </c>
      <c r="J637" s="614"/>
      <c r="K637" s="614">
        <f>I637+J637</f>
        <v>23</v>
      </c>
      <c r="L637" s="614"/>
      <c r="M637" s="614"/>
      <c r="N637" s="614"/>
      <c r="O637" s="614"/>
      <c r="P637" s="614"/>
    </row>
    <row r="638" spans="1:16" x14ac:dyDescent="0.25">
      <c r="A638" s="611" t="s">
        <v>1108</v>
      </c>
      <c r="B638" s="611" t="s">
        <v>1486</v>
      </c>
      <c r="C638" s="611"/>
      <c r="D638" s="612" t="s">
        <v>1487</v>
      </c>
      <c r="E638" s="611" t="s">
        <v>251</v>
      </c>
      <c r="F638" s="613">
        <v>1</v>
      </c>
      <c r="G638" s="614">
        <v>1.45</v>
      </c>
      <c r="H638" s="613"/>
      <c r="I638" s="614">
        <f t="shared" ref="I638:I640" si="133">ROUND(F638*G638,2)</f>
        <v>1.45</v>
      </c>
      <c r="J638" s="614"/>
      <c r="K638" s="614">
        <f t="shared" ref="K638:K647" si="134">I638+J638</f>
        <v>1.45</v>
      </c>
      <c r="L638" s="614"/>
      <c r="M638" s="614"/>
      <c r="N638" s="614"/>
      <c r="O638" s="614"/>
      <c r="P638" s="614"/>
    </row>
    <row r="639" spans="1:16" x14ac:dyDescent="0.25">
      <c r="A639" s="611" t="s">
        <v>1108</v>
      </c>
      <c r="B639" s="611" t="s">
        <v>1488</v>
      </c>
      <c r="C639" s="611"/>
      <c r="D639" s="612" t="s">
        <v>1489</v>
      </c>
      <c r="E639" s="611" t="s">
        <v>251</v>
      </c>
      <c r="F639" s="613">
        <v>1</v>
      </c>
      <c r="G639" s="614">
        <v>4.22</v>
      </c>
      <c r="H639" s="613"/>
      <c r="I639" s="614">
        <f t="shared" si="133"/>
        <v>4.22</v>
      </c>
      <c r="J639" s="614"/>
      <c r="K639" s="614">
        <f t="shared" si="134"/>
        <v>4.22</v>
      </c>
      <c r="L639" s="614"/>
      <c r="M639" s="614"/>
      <c r="N639" s="614"/>
      <c r="O639" s="614"/>
      <c r="P639" s="614"/>
    </row>
    <row r="640" spans="1:16" x14ac:dyDescent="0.25">
      <c r="A640" s="611" t="s">
        <v>1108</v>
      </c>
      <c r="B640" s="611" t="s">
        <v>1490</v>
      </c>
      <c r="C640" s="611"/>
      <c r="D640" s="612" t="s">
        <v>1491</v>
      </c>
      <c r="E640" s="611" t="s">
        <v>248</v>
      </c>
      <c r="F640" s="613">
        <v>2</v>
      </c>
      <c r="G640" s="614">
        <v>1.6</v>
      </c>
      <c r="H640" s="613"/>
      <c r="I640" s="614">
        <f t="shared" si="133"/>
        <v>3.2</v>
      </c>
      <c r="J640" s="614"/>
      <c r="K640" s="614">
        <f t="shared" si="134"/>
        <v>3.2</v>
      </c>
      <c r="L640" s="614"/>
      <c r="M640" s="614"/>
      <c r="N640" s="614"/>
      <c r="O640" s="614"/>
      <c r="P640" s="614"/>
    </row>
    <row r="641" spans="1:16" x14ac:dyDescent="0.25">
      <c r="A641" s="611" t="s">
        <v>277</v>
      </c>
      <c r="B641" s="611">
        <v>2436</v>
      </c>
      <c r="C641" s="611"/>
      <c r="D641" s="612" t="s">
        <v>1069</v>
      </c>
      <c r="E641" s="611" t="s">
        <v>229</v>
      </c>
      <c r="F641" s="613">
        <v>0.8</v>
      </c>
      <c r="G641" s="614">
        <v>12.57</v>
      </c>
      <c r="H641" s="613"/>
      <c r="I641" s="614"/>
      <c r="J641" s="614">
        <f>ROUND(F641*G641,2)</f>
        <v>10.06</v>
      </c>
      <c r="K641" s="614">
        <f t="shared" si="134"/>
        <v>10.06</v>
      </c>
      <c r="L641" s="614"/>
      <c r="M641" s="614"/>
      <c r="N641" s="614"/>
      <c r="O641" s="614"/>
      <c r="P641" s="614"/>
    </row>
    <row r="642" spans="1:16" x14ac:dyDescent="0.25">
      <c r="A642" s="611" t="s">
        <v>277</v>
      </c>
      <c r="B642" s="611">
        <v>247</v>
      </c>
      <c r="C642" s="611"/>
      <c r="D642" s="612" t="s">
        <v>1070</v>
      </c>
      <c r="E642" s="611" t="s">
        <v>229</v>
      </c>
      <c r="F642" s="613">
        <v>0.8</v>
      </c>
      <c r="G642" s="614">
        <v>9.65</v>
      </c>
      <c r="H642" s="613"/>
      <c r="I642" s="614"/>
      <c r="J642" s="614">
        <f>ROUND(F642*G642,2)</f>
        <v>7.72</v>
      </c>
      <c r="K642" s="614">
        <f t="shared" si="134"/>
        <v>7.72</v>
      </c>
      <c r="L642" s="614"/>
      <c r="M642" s="614"/>
      <c r="N642" s="614"/>
      <c r="O642" s="614"/>
      <c r="P642" s="614"/>
    </row>
    <row r="643" spans="1:16" x14ac:dyDescent="0.25">
      <c r="A643" s="619"/>
      <c r="B643" s="619"/>
      <c r="C643" s="619" t="s">
        <v>1492</v>
      </c>
      <c r="D643" s="620" t="s">
        <v>1493</v>
      </c>
      <c r="E643" s="619" t="s">
        <v>251</v>
      </c>
      <c r="F643" s="621"/>
      <c r="G643" s="622"/>
      <c r="H643" s="621">
        <v>1</v>
      </c>
      <c r="I643" s="622">
        <f>SUM(I644:I647)</f>
        <v>131.26</v>
      </c>
      <c r="J643" s="622">
        <f>SUM(J644:J647)</f>
        <v>33.340000000000003</v>
      </c>
      <c r="K643" s="622">
        <f>I643+J643</f>
        <v>164.6</v>
      </c>
      <c r="L643" s="622">
        <f>H643*I643</f>
        <v>131.26</v>
      </c>
      <c r="M643" s="622">
        <f>H643*J643</f>
        <v>33.340000000000003</v>
      </c>
      <c r="N643" s="622">
        <f>L643+M643</f>
        <v>164.6</v>
      </c>
      <c r="O643" s="622">
        <f>N643*$P$4</f>
        <v>40.425760000000004</v>
      </c>
      <c r="P643" s="622">
        <f>N643+O643</f>
        <v>205.02575999999999</v>
      </c>
    </row>
    <row r="644" spans="1:16" ht="36" x14ac:dyDescent="0.25">
      <c r="A644" s="611" t="s">
        <v>1108</v>
      </c>
      <c r="B644" s="611" t="s">
        <v>1494</v>
      </c>
      <c r="C644" s="611"/>
      <c r="D644" s="612" t="s">
        <v>1495</v>
      </c>
      <c r="E644" s="611" t="s">
        <v>251</v>
      </c>
      <c r="F644" s="613">
        <v>1</v>
      </c>
      <c r="G644" s="614">
        <v>130.91999999999999</v>
      </c>
      <c r="H644" s="613"/>
      <c r="I644" s="614">
        <f t="shared" ref="I644" si="135">ROUND(F644*G644,2)</f>
        <v>130.91999999999999</v>
      </c>
      <c r="J644" s="614"/>
      <c r="K644" s="614">
        <f t="shared" si="134"/>
        <v>130.91999999999999</v>
      </c>
      <c r="L644" s="614"/>
      <c r="M644" s="614"/>
      <c r="N644" s="614"/>
      <c r="O644" s="614"/>
      <c r="P644" s="614"/>
    </row>
    <row r="645" spans="1:16" x14ac:dyDescent="0.25">
      <c r="A645" s="611" t="s">
        <v>277</v>
      </c>
      <c r="B645" s="611">
        <v>7583</v>
      </c>
      <c r="C645" s="611"/>
      <c r="D645" s="612" t="s">
        <v>1245</v>
      </c>
      <c r="E645" s="611" t="s">
        <v>251</v>
      </c>
      <c r="F645" s="613">
        <v>2</v>
      </c>
      <c r="G645" s="614">
        <v>0.17</v>
      </c>
      <c r="H645" s="613"/>
      <c r="I645" s="614">
        <f>ROUND(F645*G645,2)</f>
        <v>0.34</v>
      </c>
      <c r="J645" s="614"/>
      <c r="K645" s="614">
        <f t="shared" si="134"/>
        <v>0.34</v>
      </c>
      <c r="L645" s="614"/>
      <c r="M645" s="614"/>
      <c r="N645" s="614"/>
      <c r="O645" s="614"/>
      <c r="P645" s="614"/>
    </row>
    <row r="646" spans="1:16" x14ac:dyDescent="0.25">
      <c r="A646" s="611" t="s">
        <v>277</v>
      </c>
      <c r="B646" s="611">
        <v>2436</v>
      </c>
      <c r="C646" s="611"/>
      <c r="D646" s="612" t="s">
        <v>1069</v>
      </c>
      <c r="E646" s="611" t="s">
        <v>229</v>
      </c>
      <c r="F646" s="613">
        <v>1.5</v>
      </c>
      <c r="G646" s="614">
        <v>12.57</v>
      </c>
      <c r="H646" s="613"/>
      <c r="I646" s="614"/>
      <c r="J646" s="614">
        <f>ROUND(F646*G646,2)</f>
        <v>18.86</v>
      </c>
      <c r="K646" s="614">
        <f t="shared" si="134"/>
        <v>18.86</v>
      </c>
      <c r="L646" s="614"/>
      <c r="M646" s="614"/>
      <c r="N646" s="614"/>
      <c r="O646" s="614"/>
      <c r="P646" s="614"/>
    </row>
    <row r="647" spans="1:16" x14ac:dyDescent="0.25">
      <c r="A647" s="611" t="s">
        <v>277</v>
      </c>
      <c r="B647" s="611">
        <v>247</v>
      </c>
      <c r="C647" s="611"/>
      <c r="D647" s="612" t="s">
        <v>1070</v>
      </c>
      <c r="E647" s="611" t="s">
        <v>229</v>
      </c>
      <c r="F647" s="613">
        <v>1.5</v>
      </c>
      <c r="G647" s="614">
        <v>9.65</v>
      </c>
      <c r="H647" s="613"/>
      <c r="I647" s="614"/>
      <c r="J647" s="614">
        <f>ROUND(F647*G647,2)</f>
        <v>14.48</v>
      </c>
      <c r="K647" s="614">
        <f t="shared" si="134"/>
        <v>14.48</v>
      </c>
      <c r="L647" s="614"/>
      <c r="M647" s="614"/>
      <c r="N647" s="614"/>
      <c r="O647" s="614"/>
      <c r="P647" s="614"/>
    </row>
    <row r="648" spans="1:16" ht="24" x14ac:dyDescent="0.25">
      <c r="A648" s="619"/>
      <c r="B648" s="619"/>
      <c r="C648" s="619" t="s">
        <v>1496</v>
      </c>
      <c r="D648" s="620" t="s">
        <v>1497</v>
      </c>
      <c r="E648" s="619"/>
      <c r="F648" s="621"/>
      <c r="G648" s="622"/>
      <c r="H648" s="621">
        <v>4</v>
      </c>
      <c r="I648" s="622">
        <f>SUM(I649:I653)</f>
        <v>162.51</v>
      </c>
      <c r="J648" s="622">
        <f>SUM(J649:J653)</f>
        <v>33.340000000000003</v>
      </c>
      <c r="K648" s="622">
        <f>I648+J648</f>
        <v>195.85</v>
      </c>
      <c r="L648" s="622">
        <f>H648*I648</f>
        <v>650.04</v>
      </c>
      <c r="M648" s="622">
        <f>H648*J648</f>
        <v>133.36000000000001</v>
      </c>
      <c r="N648" s="622">
        <f>L648+M648</f>
        <v>783.4</v>
      </c>
      <c r="O648" s="622">
        <f>N648*$P$4</f>
        <v>192.40304</v>
      </c>
      <c r="P648" s="622">
        <f>N648+O648</f>
        <v>975.80304000000001</v>
      </c>
    </row>
    <row r="649" spans="1:16" ht="48" x14ac:dyDescent="0.25">
      <c r="A649" s="611" t="s">
        <v>1108</v>
      </c>
      <c r="B649" s="624" t="s">
        <v>1498</v>
      </c>
      <c r="C649" s="611"/>
      <c r="D649" s="612" t="s">
        <v>1499</v>
      </c>
      <c r="E649" s="611" t="s">
        <v>251</v>
      </c>
      <c r="F649" s="613">
        <v>1</v>
      </c>
      <c r="G649" s="614">
        <v>151.57</v>
      </c>
      <c r="H649" s="613"/>
      <c r="I649" s="614">
        <f t="shared" ref="I649:I650" si="136">ROUND(F649*G649,2)</f>
        <v>151.57</v>
      </c>
      <c r="J649" s="614"/>
      <c r="K649" s="614">
        <f t="shared" ref="K649:K653" si="137">I649+J649</f>
        <v>151.57</v>
      </c>
      <c r="L649" s="614"/>
      <c r="M649" s="614"/>
      <c r="N649" s="614"/>
      <c r="O649" s="614"/>
      <c r="P649" s="614"/>
    </row>
    <row r="650" spans="1:16" ht="24" x14ac:dyDescent="0.25">
      <c r="A650" s="611" t="s">
        <v>1108</v>
      </c>
      <c r="B650" s="611" t="s">
        <v>1500</v>
      </c>
      <c r="C650" s="611"/>
      <c r="D650" s="612" t="s">
        <v>1501</v>
      </c>
      <c r="E650" s="611" t="s">
        <v>251</v>
      </c>
      <c r="F650" s="613">
        <v>1</v>
      </c>
      <c r="G650" s="614">
        <v>10.6</v>
      </c>
      <c r="H650" s="613"/>
      <c r="I650" s="614">
        <f t="shared" si="136"/>
        <v>10.6</v>
      </c>
      <c r="J650" s="614"/>
      <c r="K650" s="614">
        <f t="shared" si="137"/>
        <v>10.6</v>
      </c>
      <c r="L650" s="614"/>
      <c r="M650" s="614"/>
      <c r="N650" s="614"/>
      <c r="O650" s="614"/>
      <c r="P650" s="614"/>
    </row>
    <row r="651" spans="1:16" x14ac:dyDescent="0.25">
      <c r="A651" s="611" t="s">
        <v>277</v>
      </c>
      <c r="B651" s="611">
        <v>7583</v>
      </c>
      <c r="C651" s="611"/>
      <c r="D651" s="612" t="s">
        <v>1245</v>
      </c>
      <c r="E651" s="611" t="s">
        <v>251</v>
      </c>
      <c r="F651" s="613">
        <v>2</v>
      </c>
      <c r="G651" s="614">
        <v>0.17</v>
      </c>
      <c r="H651" s="613"/>
      <c r="I651" s="614">
        <f>ROUND(F651*G651,2)</f>
        <v>0.34</v>
      </c>
      <c r="J651" s="614"/>
      <c r="K651" s="614">
        <f t="shared" si="137"/>
        <v>0.34</v>
      </c>
      <c r="L651" s="614"/>
      <c r="M651" s="614"/>
      <c r="N651" s="614"/>
      <c r="O651" s="614"/>
      <c r="P651" s="614"/>
    </row>
    <row r="652" spans="1:16" x14ac:dyDescent="0.25">
      <c r="A652" s="611" t="s">
        <v>277</v>
      </c>
      <c r="B652" s="611">
        <v>2436</v>
      </c>
      <c r="C652" s="611"/>
      <c r="D652" s="612" t="s">
        <v>1069</v>
      </c>
      <c r="E652" s="611" t="s">
        <v>229</v>
      </c>
      <c r="F652" s="613">
        <v>1.5</v>
      </c>
      <c r="G652" s="614">
        <v>12.57</v>
      </c>
      <c r="H652" s="613"/>
      <c r="I652" s="614"/>
      <c r="J652" s="614">
        <f>ROUND(F652*G652,2)</f>
        <v>18.86</v>
      </c>
      <c r="K652" s="614">
        <f t="shared" si="137"/>
        <v>18.86</v>
      </c>
      <c r="L652" s="614"/>
      <c r="M652" s="614"/>
      <c r="N652" s="614"/>
      <c r="O652" s="614"/>
      <c r="P652" s="614"/>
    </row>
    <row r="653" spans="1:16" x14ac:dyDescent="0.25">
      <c r="A653" s="611" t="s">
        <v>277</v>
      </c>
      <c r="B653" s="611">
        <v>247</v>
      </c>
      <c r="C653" s="611"/>
      <c r="D653" s="612" t="s">
        <v>1070</v>
      </c>
      <c r="E653" s="611" t="s">
        <v>229</v>
      </c>
      <c r="F653" s="613">
        <v>1.5</v>
      </c>
      <c r="G653" s="614">
        <v>9.65</v>
      </c>
      <c r="H653" s="613"/>
      <c r="I653" s="614"/>
      <c r="J653" s="614">
        <f>ROUND(F653*G653,2)</f>
        <v>14.48</v>
      </c>
      <c r="K653" s="614">
        <f t="shared" si="137"/>
        <v>14.48</v>
      </c>
      <c r="L653" s="614"/>
      <c r="M653" s="614"/>
      <c r="N653" s="614"/>
      <c r="O653" s="614"/>
      <c r="P653" s="614"/>
    </row>
    <row r="654" spans="1:16" ht="24" x14ac:dyDescent="0.25">
      <c r="A654" s="619"/>
      <c r="B654" s="619"/>
      <c r="C654" s="619" t="s">
        <v>1502</v>
      </c>
      <c r="D654" s="620" t="s">
        <v>1503</v>
      </c>
      <c r="E654" s="619"/>
      <c r="F654" s="621"/>
      <c r="G654" s="622"/>
      <c r="H654" s="621">
        <v>6</v>
      </c>
      <c r="I654" s="622">
        <f>SUM(I655:I659)</f>
        <v>27.400000000000002</v>
      </c>
      <c r="J654" s="622">
        <f>SUM(J655:J659)</f>
        <v>17.78</v>
      </c>
      <c r="K654" s="622">
        <f>I654+J654</f>
        <v>45.180000000000007</v>
      </c>
      <c r="L654" s="622">
        <f>H654*I654</f>
        <v>164.4</v>
      </c>
      <c r="M654" s="622">
        <f>H654*J654</f>
        <v>106.68</v>
      </c>
      <c r="N654" s="622">
        <f>L654+M654</f>
        <v>271.08000000000004</v>
      </c>
      <c r="O654" s="622">
        <f>N654*$P$4</f>
        <v>66.577248000000012</v>
      </c>
      <c r="P654" s="622">
        <f>N654+O654</f>
        <v>337.65724800000004</v>
      </c>
    </row>
    <row r="655" spans="1:16" ht="24" x14ac:dyDescent="0.25">
      <c r="A655" s="611" t="s">
        <v>1108</v>
      </c>
      <c r="B655" s="611" t="s">
        <v>1504</v>
      </c>
      <c r="C655" s="611"/>
      <c r="D655" s="612" t="s">
        <v>1505</v>
      </c>
      <c r="E655" s="611" t="s">
        <v>251</v>
      </c>
      <c r="F655" s="613">
        <v>1</v>
      </c>
      <c r="G655" s="614">
        <v>16.5</v>
      </c>
      <c r="H655" s="613"/>
      <c r="I655" s="614">
        <f t="shared" ref="I655:I656" si="138">ROUND(F655*G655,2)</f>
        <v>16.5</v>
      </c>
      <c r="J655" s="614"/>
      <c r="K655" s="614">
        <f t="shared" ref="K655:K659" si="139">I655+J655</f>
        <v>16.5</v>
      </c>
      <c r="L655" s="614"/>
      <c r="M655" s="614"/>
      <c r="N655" s="614"/>
      <c r="O655" s="614"/>
      <c r="P655" s="614"/>
    </row>
    <row r="656" spans="1:16" ht="24" x14ac:dyDescent="0.25">
      <c r="A656" s="611" t="s">
        <v>1108</v>
      </c>
      <c r="B656" s="611" t="s">
        <v>1500</v>
      </c>
      <c r="C656" s="611"/>
      <c r="D656" s="612" t="s">
        <v>1501</v>
      </c>
      <c r="E656" s="611" t="s">
        <v>251</v>
      </c>
      <c r="F656" s="613">
        <v>1</v>
      </c>
      <c r="G656" s="614">
        <v>10.6</v>
      </c>
      <c r="H656" s="613"/>
      <c r="I656" s="614">
        <f t="shared" si="138"/>
        <v>10.6</v>
      </c>
      <c r="J656" s="614"/>
      <c r="K656" s="614">
        <f t="shared" si="139"/>
        <v>10.6</v>
      </c>
      <c r="L656" s="614"/>
      <c r="M656" s="614"/>
      <c r="N656" s="614"/>
      <c r="O656" s="614"/>
      <c r="P656" s="614"/>
    </row>
    <row r="657" spans="1:16" x14ac:dyDescent="0.25">
      <c r="A657" s="611" t="s">
        <v>277</v>
      </c>
      <c r="B657" s="611">
        <v>11950</v>
      </c>
      <c r="C657" s="611"/>
      <c r="D657" s="612" t="s">
        <v>1483</v>
      </c>
      <c r="E657" s="611" t="s">
        <v>251</v>
      </c>
      <c r="F657" s="613">
        <v>2</v>
      </c>
      <c r="G657" s="614">
        <v>0.15</v>
      </c>
      <c r="H657" s="613"/>
      <c r="I657" s="614">
        <f>ROUND(F657*G657,2)</f>
        <v>0.3</v>
      </c>
      <c r="J657" s="614"/>
      <c r="K657" s="614">
        <f t="shared" si="139"/>
        <v>0.3</v>
      </c>
      <c r="L657" s="614"/>
      <c r="M657" s="614"/>
      <c r="N657" s="614"/>
      <c r="O657" s="614"/>
      <c r="P657" s="614"/>
    </row>
    <row r="658" spans="1:16" x14ac:dyDescent="0.25">
      <c r="A658" s="611" t="s">
        <v>277</v>
      </c>
      <c r="B658" s="611">
        <v>2436</v>
      </c>
      <c r="C658" s="611"/>
      <c r="D658" s="612" t="s">
        <v>1069</v>
      </c>
      <c r="E658" s="611" t="s">
        <v>229</v>
      </c>
      <c r="F658" s="613">
        <v>0.8</v>
      </c>
      <c r="G658" s="614">
        <v>12.57</v>
      </c>
      <c r="H658" s="613"/>
      <c r="I658" s="614"/>
      <c r="J658" s="614">
        <f>ROUND(F658*G658,2)</f>
        <v>10.06</v>
      </c>
      <c r="K658" s="614">
        <f t="shared" si="139"/>
        <v>10.06</v>
      </c>
      <c r="L658" s="614"/>
      <c r="M658" s="614"/>
      <c r="N658" s="614"/>
      <c r="O658" s="614"/>
      <c r="P658" s="614"/>
    </row>
    <row r="659" spans="1:16" x14ac:dyDescent="0.25">
      <c r="A659" s="611" t="s">
        <v>277</v>
      </c>
      <c r="B659" s="611">
        <v>247</v>
      </c>
      <c r="C659" s="611"/>
      <c r="D659" s="612" t="s">
        <v>1070</v>
      </c>
      <c r="E659" s="611" t="s">
        <v>229</v>
      </c>
      <c r="F659" s="613">
        <v>0.8</v>
      </c>
      <c r="G659" s="614">
        <v>9.65</v>
      </c>
      <c r="H659" s="613"/>
      <c r="I659" s="614"/>
      <c r="J659" s="614">
        <f>ROUND(F659*G659,2)</f>
        <v>7.72</v>
      </c>
      <c r="K659" s="614">
        <f t="shared" si="139"/>
        <v>7.72</v>
      </c>
      <c r="L659" s="614"/>
      <c r="M659" s="614"/>
      <c r="N659" s="614"/>
      <c r="O659" s="614"/>
      <c r="P659" s="614"/>
    </row>
    <row r="660" spans="1:16" ht="24" x14ac:dyDescent="0.25">
      <c r="A660" s="619"/>
      <c r="B660" s="619"/>
      <c r="C660" s="619" t="s">
        <v>1506</v>
      </c>
      <c r="D660" s="620" t="s">
        <v>1507</v>
      </c>
      <c r="E660" s="619"/>
      <c r="F660" s="621"/>
      <c r="G660" s="622"/>
      <c r="H660" s="621">
        <v>13</v>
      </c>
      <c r="I660" s="622">
        <f>SUM(I661:I665)</f>
        <v>77.749999999999986</v>
      </c>
      <c r="J660" s="622">
        <f>SUM(J661:J665)</f>
        <v>17.78</v>
      </c>
      <c r="K660" s="622">
        <f>I660+J660</f>
        <v>95.529999999999987</v>
      </c>
      <c r="L660" s="622">
        <f>H660*I660</f>
        <v>1010.7499999999998</v>
      </c>
      <c r="M660" s="622">
        <f>H660*J660</f>
        <v>231.14000000000001</v>
      </c>
      <c r="N660" s="622">
        <f>L660+M660</f>
        <v>1241.8899999999999</v>
      </c>
      <c r="O660" s="622">
        <f>N660*$P$4</f>
        <v>305.00818399999997</v>
      </c>
      <c r="P660" s="622">
        <f>N660+O660</f>
        <v>1546.8981839999999</v>
      </c>
    </row>
    <row r="661" spans="1:16" ht="24" x14ac:dyDescent="0.25">
      <c r="A661" s="611" t="s">
        <v>1108</v>
      </c>
      <c r="B661" s="611" t="s">
        <v>1508</v>
      </c>
      <c r="C661" s="611"/>
      <c r="D661" s="612" t="s">
        <v>1509</v>
      </c>
      <c r="E661" s="611" t="s">
        <v>251</v>
      </c>
      <c r="F661" s="613">
        <v>1</v>
      </c>
      <c r="G661" s="614">
        <v>66.849999999999994</v>
      </c>
      <c r="H661" s="613"/>
      <c r="I661" s="614">
        <f t="shared" ref="I661:I662" si="140">ROUND(F661*G661,2)</f>
        <v>66.849999999999994</v>
      </c>
      <c r="J661" s="614"/>
      <c r="K661" s="614">
        <f t="shared" ref="K661:K665" si="141">I661+J661</f>
        <v>66.849999999999994</v>
      </c>
      <c r="L661" s="614"/>
      <c r="M661" s="614"/>
      <c r="N661" s="614"/>
      <c r="O661" s="614"/>
      <c r="P661" s="614"/>
    </row>
    <row r="662" spans="1:16" ht="24" x14ac:dyDescent="0.25">
      <c r="A662" s="611" t="s">
        <v>1108</v>
      </c>
      <c r="B662" s="611" t="s">
        <v>1500</v>
      </c>
      <c r="C662" s="611"/>
      <c r="D662" s="612" t="s">
        <v>1501</v>
      </c>
      <c r="E662" s="611" t="s">
        <v>251</v>
      </c>
      <c r="F662" s="613">
        <v>1</v>
      </c>
      <c r="G662" s="614">
        <v>10.6</v>
      </c>
      <c r="H662" s="613"/>
      <c r="I662" s="614">
        <f t="shared" si="140"/>
        <v>10.6</v>
      </c>
      <c r="J662" s="614"/>
      <c r="K662" s="614">
        <f t="shared" si="141"/>
        <v>10.6</v>
      </c>
      <c r="L662" s="614"/>
      <c r="M662" s="614"/>
      <c r="N662" s="614"/>
      <c r="O662" s="614"/>
      <c r="P662" s="614"/>
    </row>
    <row r="663" spans="1:16" x14ac:dyDescent="0.25">
      <c r="A663" s="611" t="s">
        <v>277</v>
      </c>
      <c r="B663" s="611">
        <v>11950</v>
      </c>
      <c r="C663" s="611"/>
      <c r="D663" s="612" t="s">
        <v>1483</v>
      </c>
      <c r="E663" s="611" t="s">
        <v>251</v>
      </c>
      <c r="F663" s="613">
        <v>2</v>
      </c>
      <c r="G663" s="614">
        <v>0.15</v>
      </c>
      <c r="H663" s="613"/>
      <c r="I663" s="614">
        <f>ROUND(F663*G663,2)</f>
        <v>0.3</v>
      </c>
      <c r="J663" s="614"/>
      <c r="K663" s="614">
        <f t="shared" si="141"/>
        <v>0.3</v>
      </c>
      <c r="L663" s="614"/>
      <c r="M663" s="614"/>
      <c r="N663" s="614"/>
      <c r="O663" s="614"/>
      <c r="P663" s="614"/>
    </row>
    <row r="664" spans="1:16" x14ac:dyDescent="0.25">
      <c r="A664" s="611" t="s">
        <v>277</v>
      </c>
      <c r="B664" s="611">
        <v>2436</v>
      </c>
      <c r="C664" s="611"/>
      <c r="D664" s="612" t="s">
        <v>1069</v>
      </c>
      <c r="E664" s="611" t="s">
        <v>229</v>
      </c>
      <c r="F664" s="613">
        <v>0.8</v>
      </c>
      <c r="G664" s="614">
        <v>12.57</v>
      </c>
      <c r="H664" s="613"/>
      <c r="I664" s="614"/>
      <c r="J664" s="614">
        <f>ROUND(F664*G664,2)</f>
        <v>10.06</v>
      </c>
      <c r="K664" s="614">
        <f t="shared" si="141"/>
        <v>10.06</v>
      </c>
      <c r="L664" s="614"/>
      <c r="M664" s="614"/>
      <c r="N664" s="614"/>
      <c r="O664" s="614"/>
      <c r="P664" s="614"/>
    </row>
    <row r="665" spans="1:16" x14ac:dyDescent="0.25">
      <c r="A665" s="611" t="s">
        <v>277</v>
      </c>
      <c r="B665" s="611">
        <v>247</v>
      </c>
      <c r="C665" s="611"/>
      <c r="D665" s="612" t="s">
        <v>1070</v>
      </c>
      <c r="E665" s="611" t="s">
        <v>229</v>
      </c>
      <c r="F665" s="613">
        <v>0.8</v>
      </c>
      <c r="G665" s="614">
        <v>9.65</v>
      </c>
      <c r="H665" s="613"/>
      <c r="I665" s="614"/>
      <c r="J665" s="614">
        <f>ROUND(F665*G665,2)</f>
        <v>7.72</v>
      </c>
      <c r="K665" s="614">
        <f t="shared" si="141"/>
        <v>7.72</v>
      </c>
      <c r="L665" s="614"/>
      <c r="M665" s="614"/>
      <c r="N665" s="614"/>
      <c r="O665" s="614"/>
      <c r="P665" s="614"/>
    </row>
    <row r="666" spans="1:16" ht="24" x14ac:dyDescent="0.25">
      <c r="A666" s="619"/>
      <c r="B666" s="619"/>
      <c r="C666" s="619" t="s">
        <v>1510</v>
      </c>
      <c r="D666" s="620" t="s">
        <v>1511</v>
      </c>
      <c r="E666" s="619" t="s">
        <v>251</v>
      </c>
      <c r="F666" s="621"/>
      <c r="G666" s="622"/>
      <c r="H666" s="621">
        <v>146</v>
      </c>
      <c r="I666" s="622">
        <f>SUM(I667:I674)</f>
        <v>58.140000000000008</v>
      </c>
      <c r="J666" s="622">
        <f>SUM(J667:J674)</f>
        <v>22.22</v>
      </c>
      <c r="K666" s="622">
        <f>I666+J666</f>
        <v>80.360000000000014</v>
      </c>
      <c r="L666" s="622">
        <f>H666*I666</f>
        <v>8488.44</v>
      </c>
      <c r="M666" s="622">
        <f>H666*J666</f>
        <v>3244.12</v>
      </c>
      <c r="N666" s="622">
        <f>L666+M666</f>
        <v>11732.560000000001</v>
      </c>
      <c r="O666" s="622">
        <f>N666*$P$4</f>
        <v>2881.5167360000005</v>
      </c>
      <c r="P666" s="622">
        <f>N666+O666</f>
        <v>14614.076736000003</v>
      </c>
    </row>
    <row r="667" spans="1:16" ht="60" x14ac:dyDescent="0.25">
      <c r="A667" s="611" t="s">
        <v>1108</v>
      </c>
      <c r="B667" s="624" t="s">
        <v>1512</v>
      </c>
      <c r="C667" s="611"/>
      <c r="D667" s="612" t="s">
        <v>1513</v>
      </c>
      <c r="E667" s="611" t="s">
        <v>251</v>
      </c>
      <c r="F667" s="613">
        <v>1</v>
      </c>
      <c r="G667" s="623">
        <v>34.5</v>
      </c>
      <c r="H667" s="613"/>
      <c r="I667" s="614">
        <f t="shared" ref="I667:I672" si="142">ROUND(F667*G667,2)</f>
        <v>34.5</v>
      </c>
      <c r="J667" s="614"/>
      <c r="K667" s="614">
        <f t="shared" ref="K667:K682" si="143">I667+J667</f>
        <v>34.5</v>
      </c>
      <c r="L667" s="614"/>
      <c r="M667" s="614"/>
      <c r="N667" s="614"/>
      <c r="O667" s="614"/>
      <c r="P667" s="614"/>
    </row>
    <row r="668" spans="1:16" ht="24" x14ac:dyDescent="0.25">
      <c r="A668" s="611" t="s">
        <v>1108</v>
      </c>
      <c r="B668" s="611" t="s">
        <v>1500</v>
      </c>
      <c r="C668" s="611"/>
      <c r="D668" s="612" t="s">
        <v>1501</v>
      </c>
      <c r="E668" s="611" t="s">
        <v>251</v>
      </c>
      <c r="F668" s="613">
        <v>1</v>
      </c>
      <c r="G668" s="614">
        <v>10.6</v>
      </c>
      <c r="H668" s="613"/>
      <c r="I668" s="614">
        <f t="shared" si="142"/>
        <v>10.6</v>
      </c>
      <c r="J668" s="614"/>
      <c r="K668" s="614">
        <f t="shared" si="143"/>
        <v>10.6</v>
      </c>
      <c r="L668" s="614"/>
      <c r="M668" s="614"/>
      <c r="N668" s="614"/>
      <c r="O668" s="614"/>
      <c r="P668" s="614"/>
    </row>
    <row r="669" spans="1:16" x14ac:dyDescent="0.25">
      <c r="A669" s="611" t="s">
        <v>1108</v>
      </c>
      <c r="B669" s="611" t="s">
        <v>1486</v>
      </c>
      <c r="C669" s="611"/>
      <c r="D669" s="612" t="s">
        <v>1487</v>
      </c>
      <c r="E669" s="611" t="s">
        <v>251</v>
      </c>
      <c r="F669" s="613">
        <v>1</v>
      </c>
      <c r="G669" s="614">
        <v>1.45</v>
      </c>
      <c r="H669" s="613"/>
      <c r="I669" s="614">
        <f t="shared" si="142"/>
        <v>1.45</v>
      </c>
      <c r="J669" s="614"/>
      <c r="K669" s="614">
        <f t="shared" si="143"/>
        <v>1.45</v>
      </c>
      <c r="L669" s="614"/>
      <c r="M669" s="614"/>
      <c r="N669" s="614"/>
      <c r="O669" s="614"/>
      <c r="P669" s="614"/>
    </row>
    <row r="670" spans="1:16" x14ac:dyDescent="0.25">
      <c r="A670" s="611" t="s">
        <v>1108</v>
      </c>
      <c r="B670" s="611" t="s">
        <v>1488</v>
      </c>
      <c r="C670" s="611"/>
      <c r="D670" s="612" t="s">
        <v>1514</v>
      </c>
      <c r="E670" s="611" t="s">
        <v>251</v>
      </c>
      <c r="F670" s="613">
        <v>1</v>
      </c>
      <c r="G670" s="614">
        <v>4.17</v>
      </c>
      <c r="H670" s="613"/>
      <c r="I670" s="614">
        <f t="shared" si="142"/>
        <v>4.17</v>
      </c>
      <c r="J670" s="614"/>
      <c r="K670" s="614">
        <f t="shared" si="143"/>
        <v>4.17</v>
      </c>
      <c r="L670" s="614"/>
      <c r="M670" s="614"/>
      <c r="N670" s="614"/>
      <c r="O670" s="614"/>
      <c r="P670" s="614"/>
    </row>
    <row r="671" spans="1:16" x14ac:dyDescent="0.25">
      <c r="A671" s="611" t="s">
        <v>1108</v>
      </c>
      <c r="B671" s="611" t="s">
        <v>1488</v>
      </c>
      <c r="C671" s="611"/>
      <c r="D671" s="612" t="s">
        <v>1489</v>
      </c>
      <c r="E671" s="611" t="s">
        <v>251</v>
      </c>
      <c r="F671" s="613">
        <v>1</v>
      </c>
      <c r="G671" s="614">
        <v>4.22</v>
      </c>
      <c r="H671" s="613"/>
      <c r="I671" s="614">
        <f t="shared" si="142"/>
        <v>4.22</v>
      </c>
      <c r="J671" s="614"/>
      <c r="K671" s="614">
        <f t="shared" si="143"/>
        <v>4.22</v>
      </c>
      <c r="L671" s="614"/>
      <c r="M671" s="614"/>
      <c r="N671" s="614"/>
      <c r="O671" s="614"/>
      <c r="P671" s="614"/>
    </row>
    <row r="672" spans="1:16" x14ac:dyDescent="0.25">
      <c r="A672" s="611" t="s">
        <v>1108</v>
      </c>
      <c r="B672" s="611" t="s">
        <v>1490</v>
      </c>
      <c r="C672" s="611"/>
      <c r="D672" s="612" t="s">
        <v>1491</v>
      </c>
      <c r="E672" s="611" t="s">
        <v>248</v>
      </c>
      <c r="F672" s="613">
        <v>2</v>
      </c>
      <c r="G672" s="614">
        <v>1.6</v>
      </c>
      <c r="H672" s="613"/>
      <c r="I672" s="614">
        <f t="shared" si="142"/>
        <v>3.2</v>
      </c>
      <c r="J672" s="614"/>
      <c r="K672" s="614">
        <f t="shared" si="143"/>
        <v>3.2</v>
      </c>
      <c r="L672" s="614"/>
      <c r="M672" s="614"/>
      <c r="N672" s="614"/>
      <c r="O672" s="614"/>
      <c r="P672" s="614"/>
    </row>
    <row r="673" spans="1:16" x14ac:dyDescent="0.25">
      <c r="A673" s="611" t="s">
        <v>277</v>
      </c>
      <c r="B673" s="611">
        <v>2436</v>
      </c>
      <c r="C673" s="611"/>
      <c r="D673" s="612" t="s">
        <v>1069</v>
      </c>
      <c r="E673" s="611" t="s">
        <v>229</v>
      </c>
      <c r="F673" s="613">
        <v>1</v>
      </c>
      <c r="G673" s="614">
        <v>12.57</v>
      </c>
      <c r="H673" s="613"/>
      <c r="I673" s="614"/>
      <c r="J673" s="614">
        <f>ROUND(F673*G673,2)</f>
        <v>12.57</v>
      </c>
      <c r="K673" s="614">
        <f t="shared" si="143"/>
        <v>12.57</v>
      </c>
      <c r="L673" s="614"/>
      <c r="M673" s="614"/>
      <c r="N673" s="614"/>
      <c r="O673" s="614"/>
      <c r="P673" s="614"/>
    </row>
    <row r="674" spans="1:16" x14ac:dyDescent="0.25">
      <c r="A674" s="611" t="s">
        <v>277</v>
      </c>
      <c r="B674" s="611">
        <v>247</v>
      </c>
      <c r="C674" s="611"/>
      <c r="D674" s="612" t="s">
        <v>1070</v>
      </c>
      <c r="E674" s="611" t="s">
        <v>229</v>
      </c>
      <c r="F674" s="613">
        <v>1</v>
      </c>
      <c r="G674" s="614">
        <v>9.65</v>
      </c>
      <c r="H674" s="613"/>
      <c r="I674" s="614"/>
      <c r="J674" s="614">
        <f>ROUND(F674*G674,2)</f>
        <v>9.65</v>
      </c>
      <c r="K674" s="614">
        <f t="shared" si="143"/>
        <v>9.65</v>
      </c>
      <c r="L674" s="614"/>
      <c r="M674" s="614"/>
      <c r="N674" s="614"/>
      <c r="O674" s="614"/>
      <c r="P674" s="614"/>
    </row>
    <row r="675" spans="1:16" ht="24" x14ac:dyDescent="0.25">
      <c r="A675" s="619"/>
      <c r="B675" s="619"/>
      <c r="C675" s="619" t="s">
        <v>1515</v>
      </c>
      <c r="D675" s="620" t="s">
        <v>1516</v>
      </c>
      <c r="E675" s="619" t="s">
        <v>251</v>
      </c>
      <c r="F675" s="621"/>
      <c r="G675" s="622"/>
      <c r="H675" s="621">
        <v>166</v>
      </c>
      <c r="I675" s="622">
        <f>SUM(I676:I682)</f>
        <v>160.83999999999997</v>
      </c>
      <c r="J675" s="622">
        <f>SUM(J676:J682)</f>
        <v>33.340000000000003</v>
      </c>
      <c r="K675" s="622">
        <f>I675+J675</f>
        <v>194.17999999999998</v>
      </c>
      <c r="L675" s="622">
        <f>H675*I675</f>
        <v>26699.439999999995</v>
      </c>
      <c r="M675" s="622">
        <f>H675*J675</f>
        <v>5534.4400000000005</v>
      </c>
      <c r="N675" s="622">
        <f>L675+M675</f>
        <v>32233.879999999997</v>
      </c>
      <c r="O675" s="622">
        <f>N675*$P$4</f>
        <v>7916.6409279999998</v>
      </c>
      <c r="P675" s="622">
        <f>N675+O675</f>
        <v>40150.520927999998</v>
      </c>
    </row>
    <row r="676" spans="1:16" ht="132" x14ac:dyDescent="0.25">
      <c r="A676" s="611" t="s">
        <v>1108</v>
      </c>
      <c r="B676" s="624" t="s">
        <v>1512</v>
      </c>
      <c r="C676" s="611"/>
      <c r="D676" s="612" t="s">
        <v>1517</v>
      </c>
      <c r="E676" s="611" t="s">
        <v>251</v>
      </c>
      <c r="F676" s="613">
        <v>1</v>
      </c>
      <c r="G676" s="623">
        <v>147.80000000000001</v>
      </c>
      <c r="H676" s="613"/>
      <c r="I676" s="614">
        <f>ROUND(F676*G676,2)</f>
        <v>147.80000000000001</v>
      </c>
      <c r="J676" s="614"/>
      <c r="K676" s="614">
        <f t="shared" si="143"/>
        <v>147.80000000000001</v>
      </c>
      <c r="L676" s="614"/>
      <c r="M676" s="614"/>
      <c r="N676" s="614"/>
      <c r="O676" s="614"/>
      <c r="P676" s="614"/>
    </row>
    <row r="677" spans="1:16" x14ac:dyDescent="0.25">
      <c r="A677" s="611" t="s">
        <v>1108</v>
      </c>
      <c r="B677" s="611" t="s">
        <v>1486</v>
      </c>
      <c r="C677" s="611"/>
      <c r="D677" s="612" t="s">
        <v>1487</v>
      </c>
      <c r="E677" s="611" t="s">
        <v>251</v>
      </c>
      <c r="F677" s="613">
        <v>1</v>
      </c>
      <c r="G677" s="614">
        <v>1.45</v>
      </c>
      <c r="H677" s="613"/>
      <c r="I677" s="614">
        <f t="shared" ref="I677:I680" si="144">ROUND(F677*G677,2)</f>
        <v>1.45</v>
      </c>
      <c r="J677" s="614"/>
      <c r="K677" s="614">
        <f t="shared" si="143"/>
        <v>1.45</v>
      </c>
      <c r="L677" s="614"/>
      <c r="M677" s="614"/>
      <c r="N677" s="614"/>
      <c r="O677" s="614"/>
      <c r="P677" s="614"/>
    </row>
    <row r="678" spans="1:16" x14ac:dyDescent="0.25">
      <c r="A678" s="611" t="s">
        <v>1108</v>
      </c>
      <c r="B678" s="611" t="s">
        <v>1488</v>
      </c>
      <c r="C678" s="611"/>
      <c r="D678" s="612" t="s">
        <v>1514</v>
      </c>
      <c r="E678" s="611" t="s">
        <v>251</v>
      </c>
      <c r="F678" s="613">
        <v>1</v>
      </c>
      <c r="G678" s="614">
        <v>4.17</v>
      </c>
      <c r="H678" s="613"/>
      <c r="I678" s="614">
        <f t="shared" si="144"/>
        <v>4.17</v>
      </c>
      <c r="J678" s="614"/>
      <c r="K678" s="614">
        <f t="shared" si="143"/>
        <v>4.17</v>
      </c>
      <c r="L678" s="614"/>
      <c r="M678" s="614"/>
      <c r="N678" s="614"/>
      <c r="O678" s="614"/>
      <c r="P678" s="614"/>
    </row>
    <row r="679" spans="1:16" x14ac:dyDescent="0.25">
      <c r="A679" s="611" t="s">
        <v>1108</v>
      </c>
      <c r="B679" s="611" t="s">
        <v>1488</v>
      </c>
      <c r="C679" s="611"/>
      <c r="D679" s="612" t="s">
        <v>1489</v>
      </c>
      <c r="E679" s="611" t="s">
        <v>251</v>
      </c>
      <c r="F679" s="613">
        <v>1</v>
      </c>
      <c r="G679" s="614">
        <v>4.22</v>
      </c>
      <c r="H679" s="613"/>
      <c r="I679" s="614">
        <f t="shared" si="144"/>
        <v>4.22</v>
      </c>
      <c r="J679" s="614"/>
      <c r="K679" s="614">
        <f t="shared" si="143"/>
        <v>4.22</v>
      </c>
      <c r="L679" s="614"/>
      <c r="M679" s="614"/>
      <c r="N679" s="614"/>
      <c r="O679" s="614"/>
      <c r="P679" s="614"/>
    </row>
    <row r="680" spans="1:16" x14ac:dyDescent="0.25">
      <c r="A680" s="611" t="s">
        <v>1108</v>
      </c>
      <c r="B680" s="611" t="s">
        <v>1490</v>
      </c>
      <c r="C680" s="611"/>
      <c r="D680" s="612" t="s">
        <v>1491</v>
      </c>
      <c r="E680" s="611" t="s">
        <v>248</v>
      </c>
      <c r="F680" s="613">
        <v>2</v>
      </c>
      <c r="G680" s="614">
        <v>1.6</v>
      </c>
      <c r="H680" s="613"/>
      <c r="I680" s="614">
        <f t="shared" si="144"/>
        <v>3.2</v>
      </c>
      <c r="J680" s="614"/>
      <c r="K680" s="614">
        <f t="shared" si="143"/>
        <v>3.2</v>
      </c>
      <c r="L680" s="614"/>
      <c r="M680" s="614"/>
      <c r="N680" s="614"/>
      <c r="O680" s="614"/>
      <c r="P680" s="614"/>
    </row>
    <row r="681" spans="1:16" x14ac:dyDescent="0.25">
      <c r="A681" s="611" t="s">
        <v>277</v>
      </c>
      <c r="B681" s="611">
        <v>2436</v>
      </c>
      <c r="C681" s="611"/>
      <c r="D681" s="612" t="s">
        <v>1069</v>
      </c>
      <c r="E681" s="611" t="s">
        <v>229</v>
      </c>
      <c r="F681" s="613">
        <v>1.5</v>
      </c>
      <c r="G681" s="614">
        <v>12.57</v>
      </c>
      <c r="H681" s="613"/>
      <c r="I681" s="614"/>
      <c r="J681" s="614">
        <f>ROUND(F681*G681,2)</f>
        <v>18.86</v>
      </c>
      <c r="K681" s="614">
        <f t="shared" si="143"/>
        <v>18.86</v>
      </c>
      <c r="L681" s="614"/>
      <c r="M681" s="614"/>
      <c r="N681" s="614"/>
      <c r="O681" s="614"/>
      <c r="P681" s="614"/>
    </row>
    <row r="682" spans="1:16" x14ac:dyDescent="0.25">
      <c r="A682" s="611" t="s">
        <v>277</v>
      </c>
      <c r="B682" s="611">
        <v>247</v>
      </c>
      <c r="C682" s="611"/>
      <c r="D682" s="612" t="s">
        <v>1070</v>
      </c>
      <c r="E682" s="611" t="s">
        <v>229</v>
      </c>
      <c r="F682" s="613">
        <v>1.5</v>
      </c>
      <c r="G682" s="614">
        <v>9.65</v>
      </c>
      <c r="H682" s="613"/>
      <c r="I682" s="614"/>
      <c r="J682" s="614">
        <f>ROUND(F682*G682,2)</f>
        <v>14.48</v>
      </c>
      <c r="K682" s="614">
        <f t="shared" si="143"/>
        <v>14.48</v>
      </c>
      <c r="L682" s="614"/>
      <c r="M682" s="614"/>
      <c r="N682" s="614"/>
      <c r="O682" s="614"/>
      <c r="P682" s="614"/>
    </row>
    <row r="683" spans="1:16" ht="24" x14ac:dyDescent="0.25">
      <c r="A683" s="619"/>
      <c r="B683" s="619"/>
      <c r="C683" s="619" t="s">
        <v>1518</v>
      </c>
      <c r="D683" s="620" t="s">
        <v>1519</v>
      </c>
      <c r="E683" s="619" t="s">
        <v>251</v>
      </c>
      <c r="F683" s="621"/>
      <c r="G683" s="622"/>
      <c r="H683" s="621">
        <v>13</v>
      </c>
      <c r="I683" s="622">
        <f>SUM(I684:I690)</f>
        <v>160.83999999999997</v>
      </c>
      <c r="J683" s="622">
        <f>SUM(J684:J690)</f>
        <v>33.340000000000003</v>
      </c>
      <c r="K683" s="622">
        <f>I683+J683</f>
        <v>194.17999999999998</v>
      </c>
      <c r="L683" s="622">
        <f>H683*I683</f>
        <v>2090.9199999999996</v>
      </c>
      <c r="M683" s="622">
        <f>H683*J683</f>
        <v>433.42000000000007</v>
      </c>
      <c r="N683" s="622">
        <f>L683+M683</f>
        <v>2524.3399999999997</v>
      </c>
      <c r="O683" s="622">
        <f>N683*$P$4</f>
        <v>619.97790399999997</v>
      </c>
      <c r="P683" s="622">
        <f>N683+O683</f>
        <v>3144.3179039999995</v>
      </c>
    </row>
    <row r="684" spans="1:16" ht="132" x14ac:dyDescent="0.25">
      <c r="A684" s="611" t="s">
        <v>1108</v>
      </c>
      <c r="B684" s="624" t="s">
        <v>1512</v>
      </c>
      <c r="C684" s="611"/>
      <c r="D684" s="612" t="s">
        <v>1520</v>
      </c>
      <c r="E684" s="611" t="s">
        <v>251</v>
      </c>
      <c r="F684" s="613">
        <v>1</v>
      </c>
      <c r="G684" s="623">
        <v>147.80000000000001</v>
      </c>
      <c r="H684" s="613"/>
      <c r="I684" s="614">
        <f>ROUND(F684*G684,2)</f>
        <v>147.80000000000001</v>
      </c>
      <c r="J684" s="614"/>
      <c r="K684" s="614">
        <f t="shared" ref="K684:K690" si="145">I684+J684</f>
        <v>147.80000000000001</v>
      </c>
      <c r="L684" s="614"/>
      <c r="M684" s="614"/>
      <c r="N684" s="614"/>
      <c r="O684" s="614"/>
      <c r="P684" s="614"/>
    </row>
    <row r="685" spans="1:16" x14ac:dyDescent="0.25">
      <c r="A685" s="611" t="s">
        <v>1108</v>
      </c>
      <c r="B685" s="611" t="s">
        <v>1486</v>
      </c>
      <c r="C685" s="611"/>
      <c r="D685" s="612" t="s">
        <v>1487</v>
      </c>
      <c r="E685" s="611" t="s">
        <v>251</v>
      </c>
      <c r="F685" s="613">
        <v>1</v>
      </c>
      <c r="G685" s="614">
        <v>1.45</v>
      </c>
      <c r="H685" s="613"/>
      <c r="I685" s="614">
        <f t="shared" ref="I685:I688" si="146">ROUND(F685*G685,2)</f>
        <v>1.45</v>
      </c>
      <c r="J685" s="614"/>
      <c r="K685" s="614">
        <f t="shared" si="145"/>
        <v>1.45</v>
      </c>
      <c r="L685" s="614"/>
      <c r="M685" s="614"/>
      <c r="N685" s="614"/>
      <c r="O685" s="614"/>
      <c r="P685" s="614"/>
    </row>
    <row r="686" spans="1:16" x14ac:dyDescent="0.25">
      <c r="A686" s="611" t="s">
        <v>1108</v>
      </c>
      <c r="B686" s="611" t="s">
        <v>1488</v>
      </c>
      <c r="C686" s="611"/>
      <c r="D686" s="612" t="s">
        <v>1514</v>
      </c>
      <c r="E686" s="611" t="s">
        <v>251</v>
      </c>
      <c r="F686" s="613">
        <v>1</v>
      </c>
      <c r="G686" s="614">
        <v>4.17</v>
      </c>
      <c r="H686" s="613"/>
      <c r="I686" s="614">
        <f t="shared" si="146"/>
        <v>4.17</v>
      </c>
      <c r="J686" s="614"/>
      <c r="K686" s="614">
        <f t="shared" si="145"/>
        <v>4.17</v>
      </c>
      <c r="L686" s="614"/>
      <c r="M686" s="614"/>
      <c r="N686" s="614"/>
      <c r="O686" s="614"/>
      <c r="P686" s="614"/>
    </row>
    <row r="687" spans="1:16" x14ac:dyDescent="0.25">
      <c r="A687" s="611" t="s">
        <v>1108</v>
      </c>
      <c r="B687" s="611" t="s">
        <v>1488</v>
      </c>
      <c r="C687" s="611"/>
      <c r="D687" s="612" t="s">
        <v>1489</v>
      </c>
      <c r="E687" s="611" t="s">
        <v>251</v>
      </c>
      <c r="F687" s="613">
        <v>1</v>
      </c>
      <c r="G687" s="614">
        <v>4.22</v>
      </c>
      <c r="H687" s="613"/>
      <c r="I687" s="614">
        <f t="shared" si="146"/>
        <v>4.22</v>
      </c>
      <c r="J687" s="614"/>
      <c r="K687" s="614">
        <f t="shared" si="145"/>
        <v>4.22</v>
      </c>
      <c r="L687" s="614"/>
      <c r="M687" s="614"/>
      <c r="N687" s="614"/>
      <c r="O687" s="614"/>
      <c r="P687" s="614"/>
    </row>
    <row r="688" spans="1:16" x14ac:dyDescent="0.25">
      <c r="A688" s="611" t="s">
        <v>1108</v>
      </c>
      <c r="B688" s="611" t="s">
        <v>1490</v>
      </c>
      <c r="C688" s="611"/>
      <c r="D688" s="612" t="s">
        <v>1491</v>
      </c>
      <c r="E688" s="611" t="s">
        <v>248</v>
      </c>
      <c r="F688" s="613">
        <v>2</v>
      </c>
      <c r="G688" s="614">
        <v>1.6</v>
      </c>
      <c r="H688" s="613"/>
      <c r="I688" s="614">
        <f t="shared" si="146"/>
        <v>3.2</v>
      </c>
      <c r="J688" s="614"/>
      <c r="K688" s="614">
        <f t="shared" si="145"/>
        <v>3.2</v>
      </c>
      <c r="L688" s="614"/>
      <c r="M688" s="614"/>
      <c r="N688" s="614"/>
      <c r="O688" s="614"/>
      <c r="P688" s="614"/>
    </row>
    <row r="689" spans="1:16" x14ac:dyDescent="0.25">
      <c r="A689" s="611" t="s">
        <v>277</v>
      </c>
      <c r="B689" s="611">
        <v>2436</v>
      </c>
      <c r="C689" s="611"/>
      <c r="D689" s="612" t="s">
        <v>1069</v>
      </c>
      <c r="E689" s="611" t="s">
        <v>229</v>
      </c>
      <c r="F689" s="613">
        <v>1.5</v>
      </c>
      <c r="G689" s="614">
        <v>12.57</v>
      </c>
      <c r="H689" s="613"/>
      <c r="I689" s="614"/>
      <c r="J689" s="614">
        <f>ROUND(F689*G689,2)</f>
        <v>18.86</v>
      </c>
      <c r="K689" s="614">
        <f t="shared" si="145"/>
        <v>18.86</v>
      </c>
      <c r="L689" s="614"/>
      <c r="M689" s="614"/>
      <c r="N689" s="614"/>
      <c r="O689" s="614"/>
      <c r="P689" s="614"/>
    </row>
    <row r="690" spans="1:16" x14ac:dyDescent="0.25">
      <c r="A690" s="611" t="s">
        <v>277</v>
      </c>
      <c r="B690" s="611">
        <v>247</v>
      </c>
      <c r="C690" s="611"/>
      <c r="D690" s="612" t="s">
        <v>1070</v>
      </c>
      <c r="E690" s="611" t="s">
        <v>229</v>
      </c>
      <c r="F690" s="613">
        <v>1.5</v>
      </c>
      <c r="G690" s="614">
        <v>9.65</v>
      </c>
      <c r="H690" s="613"/>
      <c r="I690" s="614"/>
      <c r="J690" s="614">
        <f>ROUND(F690*G690,2)</f>
        <v>14.48</v>
      </c>
      <c r="K690" s="614">
        <f t="shared" si="145"/>
        <v>14.48</v>
      </c>
      <c r="L690" s="614"/>
      <c r="M690" s="614"/>
      <c r="N690" s="614"/>
      <c r="O690" s="614"/>
      <c r="P690" s="614"/>
    </row>
    <row r="691" spans="1:16" ht="36" x14ac:dyDescent="0.25">
      <c r="A691" s="619"/>
      <c r="B691" s="619"/>
      <c r="C691" s="619" t="s">
        <v>1521</v>
      </c>
      <c r="D691" s="620" t="s">
        <v>1522</v>
      </c>
      <c r="E691" s="619" t="s">
        <v>251</v>
      </c>
      <c r="F691" s="621"/>
      <c r="G691" s="622"/>
      <c r="H691" s="621">
        <v>34</v>
      </c>
      <c r="I691" s="622">
        <f>SUM(I692:I698)</f>
        <v>45.940000000000005</v>
      </c>
      <c r="J691" s="622">
        <f>SUM(J692:J698)</f>
        <v>17.78</v>
      </c>
      <c r="K691" s="622">
        <f>I691+J691</f>
        <v>63.720000000000006</v>
      </c>
      <c r="L691" s="622">
        <f>H691*I691</f>
        <v>1561.9600000000003</v>
      </c>
      <c r="M691" s="622">
        <f>H691*J691</f>
        <v>604.52</v>
      </c>
      <c r="N691" s="622">
        <f>L691+M691</f>
        <v>2166.4800000000005</v>
      </c>
      <c r="O691" s="622">
        <f>N691*$P$4</f>
        <v>532.08748800000012</v>
      </c>
      <c r="P691" s="622">
        <f>N691+O691</f>
        <v>2698.5674880000006</v>
      </c>
    </row>
    <row r="692" spans="1:16" ht="72" x14ac:dyDescent="0.25">
      <c r="A692" s="611" t="s">
        <v>277</v>
      </c>
      <c r="B692" s="611">
        <v>3780</v>
      </c>
      <c r="C692" s="611"/>
      <c r="D692" s="612" t="s">
        <v>1523</v>
      </c>
      <c r="E692" s="611" t="s">
        <v>251</v>
      </c>
      <c r="F692" s="613">
        <v>1</v>
      </c>
      <c r="G692" s="614">
        <v>32.9</v>
      </c>
      <c r="H692" s="613"/>
      <c r="I692" s="614">
        <f>ROUND(F692*G692,2)</f>
        <v>32.9</v>
      </c>
      <c r="J692" s="614"/>
      <c r="K692" s="614">
        <f>I692+J692</f>
        <v>32.9</v>
      </c>
      <c r="L692" s="614"/>
      <c r="M692" s="614"/>
      <c r="N692" s="614"/>
      <c r="O692" s="614"/>
      <c r="P692" s="614"/>
    </row>
    <row r="693" spans="1:16" x14ac:dyDescent="0.25">
      <c r="A693" s="611" t="s">
        <v>1108</v>
      </c>
      <c r="B693" s="611" t="s">
        <v>1486</v>
      </c>
      <c r="C693" s="611"/>
      <c r="D693" s="612" t="s">
        <v>1487</v>
      </c>
      <c r="E693" s="611" t="s">
        <v>251</v>
      </c>
      <c r="F693" s="613">
        <v>1</v>
      </c>
      <c r="G693" s="614">
        <v>1.45</v>
      </c>
      <c r="H693" s="613"/>
      <c r="I693" s="614">
        <f t="shared" ref="I693:I696" si="147">ROUND(F693*G693,2)</f>
        <v>1.45</v>
      </c>
      <c r="J693" s="614"/>
      <c r="K693" s="614">
        <f t="shared" ref="K693:K698" si="148">I693+J693</f>
        <v>1.45</v>
      </c>
      <c r="L693" s="614"/>
      <c r="M693" s="614"/>
      <c r="N693" s="614"/>
      <c r="O693" s="614"/>
      <c r="P693" s="614"/>
    </row>
    <row r="694" spans="1:16" x14ac:dyDescent="0.25">
      <c r="A694" s="611" t="s">
        <v>1108</v>
      </c>
      <c r="B694" s="611" t="s">
        <v>1488</v>
      </c>
      <c r="C694" s="611"/>
      <c r="D694" s="612" t="s">
        <v>1514</v>
      </c>
      <c r="E694" s="611" t="s">
        <v>251</v>
      </c>
      <c r="F694" s="613">
        <v>1</v>
      </c>
      <c r="G694" s="614">
        <v>4.17</v>
      </c>
      <c r="H694" s="613"/>
      <c r="I694" s="614">
        <f t="shared" si="147"/>
        <v>4.17</v>
      </c>
      <c r="J694" s="614"/>
      <c r="K694" s="614">
        <f t="shared" si="148"/>
        <v>4.17</v>
      </c>
      <c r="L694" s="614"/>
      <c r="M694" s="614"/>
      <c r="N694" s="614"/>
      <c r="O694" s="614"/>
      <c r="P694" s="614"/>
    </row>
    <row r="695" spans="1:16" x14ac:dyDescent="0.25">
      <c r="A695" s="611" t="s">
        <v>1108</v>
      </c>
      <c r="B695" s="611" t="s">
        <v>1488</v>
      </c>
      <c r="C695" s="611"/>
      <c r="D695" s="612" t="s">
        <v>1489</v>
      </c>
      <c r="E695" s="611" t="s">
        <v>251</v>
      </c>
      <c r="F695" s="613">
        <v>1</v>
      </c>
      <c r="G695" s="614">
        <v>4.22</v>
      </c>
      <c r="H695" s="613"/>
      <c r="I695" s="614">
        <f t="shared" si="147"/>
        <v>4.22</v>
      </c>
      <c r="J695" s="614"/>
      <c r="K695" s="614">
        <f t="shared" si="148"/>
        <v>4.22</v>
      </c>
      <c r="L695" s="614"/>
      <c r="M695" s="614"/>
      <c r="N695" s="614"/>
      <c r="O695" s="614"/>
      <c r="P695" s="614"/>
    </row>
    <row r="696" spans="1:16" x14ac:dyDescent="0.25">
      <c r="A696" s="611" t="s">
        <v>1108</v>
      </c>
      <c r="B696" s="611" t="s">
        <v>1490</v>
      </c>
      <c r="C696" s="611"/>
      <c r="D696" s="612" t="s">
        <v>1491</v>
      </c>
      <c r="E696" s="611" t="s">
        <v>248</v>
      </c>
      <c r="F696" s="613">
        <v>2</v>
      </c>
      <c r="G696" s="614">
        <v>1.6</v>
      </c>
      <c r="H696" s="613"/>
      <c r="I696" s="614">
        <f t="shared" si="147"/>
        <v>3.2</v>
      </c>
      <c r="J696" s="614"/>
      <c r="K696" s="614">
        <f t="shared" si="148"/>
        <v>3.2</v>
      </c>
      <c r="L696" s="614"/>
      <c r="M696" s="614"/>
      <c r="N696" s="614"/>
      <c r="O696" s="614"/>
      <c r="P696" s="614"/>
    </row>
    <row r="697" spans="1:16" x14ac:dyDescent="0.25">
      <c r="A697" s="611" t="s">
        <v>277</v>
      </c>
      <c r="B697" s="611">
        <v>2436</v>
      </c>
      <c r="C697" s="611"/>
      <c r="D697" s="612" t="s">
        <v>1069</v>
      </c>
      <c r="E697" s="611" t="s">
        <v>229</v>
      </c>
      <c r="F697" s="613">
        <v>0.8</v>
      </c>
      <c r="G697" s="614">
        <v>12.57</v>
      </c>
      <c r="H697" s="613"/>
      <c r="I697" s="614"/>
      <c r="J697" s="614">
        <f>ROUND(F697*G697,2)</f>
        <v>10.06</v>
      </c>
      <c r="K697" s="614">
        <f t="shared" si="148"/>
        <v>10.06</v>
      </c>
      <c r="L697" s="614"/>
      <c r="M697" s="614"/>
      <c r="N697" s="614"/>
      <c r="O697" s="614"/>
      <c r="P697" s="614"/>
    </row>
    <row r="698" spans="1:16" x14ac:dyDescent="0.25">
      <c r="A698" s="611" t="s">
        <v>277</v>
      </c>
      <c r="B698" s="611">
        <v>247</v>
      </c>
      <c r="C698" s="611"/>
      <c r="D698" s="612" t="s">
        <v>1070</v>
      </c>
      <c r="E698" s="611" t="s">
        <v>229</v>
      </c>
      <c r="F698" s="613">
        <v>0.8</v>
      </c>
      <c r="G698" s="614">
        <v>9.65</v>
      </c>
      <c r="H698" s="613"/>
      <c r="I698" s="614"/>
      <c r="J698" s="614">
        <f>ROUND(F698*G698,2)</f>
        <v>7.72</v>
      </c>
      <c r="K698" s="614">
        <f t="shared" si="148"/>
        <v>7.72</v>
      </c>
      <c r="L698" s="614"/>
      <c r="M698" s="614"/>
      <c r="N698" s="614"/>
      <c r="O698" s="614"/>
      <c r="P698" s="614"/>
    </row>
    <row r="699" spans="1:16" ht="36" x14ac:dyDescent="0.25">
      <c r="A699" s="619"/>
      <c r="B699" s="619"/>
      <c r="C699" s="619" t="s">
        <v>1524</v>
      </c>
      <c r="D699" s="620" t="s">
        <v>1525</v>
      </c>
      <c r="E699" s="619" t="s">
        <v>251</v>
      </c>
      <c r="F699" s="621"/>
      <c r="G699" s="622"/>
      <c r="H699" s="621">
        <v>23</v>
      </c>
      <c r="I699" s="622">
        <f>SUM(I700:I706)</f>
        <v>61.84</v>
      </c>
      <c r="J699" s="622">
        <f>SUM(J700:J706)</f>
        <v>22.22</v>
      </c>
      <c r="K699" s="622">
        <f>I699+J699</f>
        <v>84.06</v>
      </c>
      <c r="L699" s="622">
        <f>H699*I699</f>
        <v>1422.3200000000002</v>
      </c>
      <c r="M699" s="622">
        <f>H699*J699</f>
        <v>511.05999999999995</v>
      </c>
      <c r="N699" s="622">
        <f>L699+M699</f>
        <v>1933.38</v>
      </c>
      <c r="O699" s="622">
        <f>N699*$P$4</f>
        <v>474.83812800000004</v>
      </c>
      <c r="P699" s="622">
        <f>N699+O699</f>
        <v>2408.218128</v>
      </c>
    </row>
    <row r="700" spans="1:16" ht="72" x14ac:dyDescent="0.25">
      <c r="A700" s="611" t="s">
        <v>277</v>
      </c>
      <c r="B700" s="611">
        <v>3799</v>
      </c>
      <c r="C700" s="611"/>
      <c r="D700" s="612" t="s">
        <v>1526</v>
      </c>
      <c r="E700" s="611" t="s">
        <v>251</v>
      </c>
      <c r="F700" s="613">
        <v>1</v>
      </c>
      <c r="G700" s="614">
        <v>48.8</v>
      </c>
      <c r="H700" s="613"/>
      <c r="I700" s="614">
        <f>ROUND(F700*G700,2)</f>
        <v>48.8</v>
      </c>
      <c r="J700" s="614"/>
      <c r="K700" s="614">
        <f>I700+J700</f>
        <v>48.8</v>
      </c>
      <c r="L700" s="614"/>
      <c r="M700" s="614"/>
      <c r="N700" s="614"/>
      <c r="O700" s="614"/>
      <c r="P700" s="614"/>
    </row>
    <row r="701" spans="1:16" x14ac:dyDescent="0.25">
      <c r="A701" s="611" t="s">
        <v>1108</v>
      </c>
      <c r="B701" s="611" t="s">
        <v>1486</v>
      </c>
      <c r="C701" s="611"/>
      <c r="D701" s="612" t="s">
        <v>1487</v>
      </c>
      <c r="E701" s="611" t="s">
        <v>251</v>
      </c>
      <c r="F701" s="613">
        <v>1</v>
      </c>
      <c r="G701" s="614">
        <v>1.45</v>
      </c>
      <c r="H701" s="613"/>
      <c r="I701" s="614">
        <f t="shared" ref="I701:I704" si="149">ROUND(F701*G701,2)</f>
        <v>1.45</v>
      </c>
      <c r="J701" s="614"/>
      <c r="K701" s="614">
        <f t="shared" ref="K701:K706" si="150">I701+J701</f>
        <v>1.45</v>
      </c>
      <c r="L701" s="614"/>
      <c r="M701" s="614"/>
      <c r="N701" s="614"/>
      <c r="O701" s="614"/>
      <c r="P701" s="614"/>
    </row>
    <row r="702" spans="1:16" x14ac:dyDescent="0.25">
      <c r="A702" s="611" t="s">
        <v>1108</v>
      </c>
      <c r="B702" s="611" t="s">
        <v>1488</v>
      </c>
      <c r="C702" s="611"/>
      <c r="D702" s="612" t="s">
        <v>1514</v>
      </c>
      <c r="E702" s="611" t="s">
        <v>251</v>
      </c>
      <c r="F702" s="613">
        <v>1</v>
      </c>
      <c r="G702" s="614">
        <v>4.17</v>
      </c>
      <c r="H702" s="613"/>
      <c r="I702" s="614">
        <f t="shared" si="149"/>
        <v>4.17</v>
      </c>
      <c r="J702" s="614"/>
      <c r="K702" s="614">
        <f t="shared" si="150"/>
        <v>4.17</v>
      </c>
      <c r="L702" s="614"/>
      <c r="M702" s="614"/>
      <c r="N702" s="614"/>
      <c r="O702" s="614"/>
      <c r="P702" s="614"/>
    </row>
    <row r="703" spans="1:16" x14ac:dyDescent="0.25">
      <c r="A703" s="611" t="s">
        <v>1108</v>
      </c>
      <c r="B703" s="611" t="s">
        <v>1488</v>
      </c>
      <c r="C703" s="611"/>
      <c r="D703" s="612" t="s">
        <v>1489</v>
      </c>
      <c r="E703" s="611" t="s">
        <v>251</v>
      </c>
      <c r="F703" s="613">
        <v>1</v>
      </c>
      <c r="G703" s="614">
        <v>4.22</v>
      </c>
      <c r="H703" s="613"/>
      <c r="I703" s="614">
        <f t="shared" si="149"/>
        <v>4.22</v>
      </c>
      <c r="J703" s="614"/>
      <c r="K703" s="614">
        <f t="shared" si="150"/>
        <v>4.22</v>
      </c>
      <c r="L703" s="614"/>
      <c r="M703" s="614"/>
      <c r="N703" s="614"/>
      <c r="O703" s="614"/>
      <c r="P703" s="614"/>
    </row>
    <row r="704" spans="1:16" x14ac:dyDescent="0.25">
      <c r="A704" s="611" t="s">
        <v>1108</v>
      </c>
      <c r="B704" s="611" t="s">
        <v>1490</v>
      </c>
      <c r="C704" s="611"/>
      <c r="D704" s="612" t="s">
        <v>1491</v>
      </c>
      <c r="E704" s="611" t="s">
        <v>248</v>
      </c>
      <c r="F704" s="613">
        <v>2</v>
      </c>
      <c r="G704" s="614">
        <v>1.6</v>
      </c>
      <c r="H704" s="613"/>
      <c r="I704" s="614">
        <f t="shared" si="149"/>
        <v>3.2</v>
      </c>
      <c r="J704" s="614"/>
      <c r="K704" s="614">
        <f t="shared" si="150"/>
        <v>3.2</v>
      </c>
      <c r="L704" s="614"/>
      <c r="M704" s="614"/>
      <c r="N704" s="614"/>
      <c r="O704" s="614"/>
      <c r="P704" s="614"/>
    </row>
    <row r="705" spans="1:16" x14ac:dyDescent="0.25">
      <c r="A705" s="611" t="s">
        <v>277</v>
      </c>
      <c r="B705" s="611">
        <v>2436</v>
      </c>
      <c r="C705" s="611"/>
      <c r="D705" s="612" t="s">
        <v>1069</v>
      </c>
      <c r="E705" s="611" t="s">
        <v>229</v>
      </c>
      <c r="F705" s="613">
        <v>1</v>
      </c>
      <c r="G705" s="614">
        <v>12.57</v>
      </c>
      <c r="H705" s="613"/>
      <c r="I705" s="614"/>
      <c r="J705" s="614">
        <f>ROUND(F705*G705,2)</f>
        <v>12.57</v>
      </c>
      <c r="K705" s="614">
        <f t="shared" si="150"/>
        <v>12.57</v>
      </c>
      <c r="L705" s="614"/>
      <c r="M705" s="614"/>
      <c r="N705" s="614"/>
      <c r="O705" s="614"/>
      <c r="P705" s="614"/>
    </row>
    <row r="706" spans="1:16" x14ac:dyDescent="0.25">
      <c r="A706" s="611" t="s">
        <v>277</v>
      </c>
      <c r="B706" s="611">
        <v>247</v>
      </c>
      <c r="C706" s="611"/>
      <c r="D706" s="612" t="s">
        <v>1070</v>
      </c>
      <c r="E706" s="611" t="s">
        <v>229</v>
      </c>
      <c r="F706" s="613">
        <v>1</v>
      </c>
      <c r="G706" s="614">
        <v>9.65</v>
      </c>
      <c r="H706" s="613"/>
      <c r="I706" s="614"/>
      <c r="J706" s="614">
        <f>ROUND(F706*G706,2)</f>
        <v>9.65</v>
      </c>
      <c r="K706" s="614">
        <f t="shared" si="150"/>
        <v>9.65</v>
      </c>
      <c r="L706" s="614"/>
      <c r="M706" s="614"/>
      <c r="N706" s="614"/>
      <c r="O706" s="614"/>
      <c r="P706" s="614"/>
    </row>
    <row r="707" spans="1:16" ht="24" x14ac:dyDescent="0.25">
      <c r="A707" s="619"/>
      <c r="B707" s="619"/>
      <c r="C707" s="619" t="s">
        <v>1527</v>
      </c>
      <c r="D707" s="620" t="s">
        <v>1528</v>
      </c>
      <c r="E707" s="619" t="s">
        <v>251</v>
      </c>
      <c r="F707" s="621"/>
      <c r="G707" s="622"/>
      <c r="H707" s="621">
        <v>1</v>
      </c>
      <c r="I707" s="622">
        <f>SUM(I708:I711)</f>
        <v>39.230000000000004</v>
      </c>
      <c r="J707" s="622">
        <f>SUM(J708:J711)</f>
        <v>22.22</v>
      </c>
      <c r="K707" s="622">
        <f>I707+J707</f>
        <v>61.45</v>
      </c>
      <c r="L707" s="622">
        <f>H707*I707</f>
        <v>39.230000000000004</v>
      </c>
      <c r="M707" s="622">
        <f>H707*J707</f>
        <v>22.22</v>
      </c>
      <c r="N707" s="622">
        <f>L707+M707</f>
        <v>61.45</v>
      </c>
      <c r="O707" s="622">
        <f>N707*$P$4</f>
        <v>15.092120000000001</v>
      </c>
      <c r="P707" s="622">
        <f>N707+O707</f>
        <v>76.542120000000011</v>
      </c>
    </row>
    <row r="708" spans="1:16" ht="24" x14ac:dyDescent="0.25">
      <c r="A708" s="611" t="s">
        <v>277</v>
      </c>
      <c r="B708" s="611">
        <v>2510</v>
      </c>
      <c r="C708" s="611"/>
      <c r="D708" s="612" t="s">
        <v>1529</v>
      </c>
      <c r="E708" s="611" t="s">
        <v>251</v>
      </c>
      <c r="F708" s="613">
        <v>1</v>
      </c>
      <c r="G708" s="614">
        <v>20.56</v>
      </c>
      <c r="H708" s="613"/>
      <c r="I708" s="614">
        <f>ROUND(F708*G708,2)</f>
        <v>20.56</v>
      </c>
      <c r="J708" s="614"/>
      <c r="K708" s="614">
        <f t="shared" ref="K708:K715" si="151">I708+J708</f>
        <v>20.56</v>
      </c>
      <c r="L708" s="614"/>
      <c r="M708" s="614"/>
      <c r="N708" s="614"/>
      <c r="O708" s="614"/>
      <c r="P708" s="614"/>
    </row>
    <row r="709" spans="1:16" x14ac:dyDescent="0.25">
      <c r="A709" s="611" t="s">
        <v>1108</v>
      </c>
      <c r="B709" s="611" t="s">
        <v>1530</v>
      </c>
      <c r="C709" s="611"/>
      <c r="D709" s="612" t="s">
        <v>1531</v>
      </c>
      <c r="E709" s="611" t="s">
        <v>251</v>
      </c>
      <c r="F709" s="613">
        <v>1</v>
      </c>
      <c r="G709" s="614">
        <v>18.670000000000002</v>
      </c>
      <c r="H709" s="613"/>
      <c r="I709" s="614">
        <f>ROUND(F709*G709,2)</f>
        <v>18.670000000000002</v>
      </c>
      <c r="J709" s="614"/>
      <c r="K709" s="614">
        <f t="shared" si="151"/>
        <v>18.670000000000002</v>
      </c>
      <c r="L709" s="614"/>
      <c r="M709" s="614"/>
      <c r="N709" s="614"/>
      <c r="O709" s="614"/>
      <c r="P709" s="614"/>
    </row>
    <row r="710" spans="1:16" x14ac:dyDescent="0.25">
      <c r="A710" s="611" t="s">
        <v>277</v>
      </c>
      <c r="B710" s="611">
        <v>2436</v>
      </c>
      <c r="C710" s="611"/>
      <c r="D710" s="612" t="s">
        <v>1069</v>
      </c>
      <c r="E710" s="611" t="s">
        <v>229</v>
      </c>
      <c r="F710" s="613">
        <v>1</v>
      </c>
      <c r="G710" s="614">
        <v>12.57</v>
      </c>
      <c r="H710" s="613"/>
      <c r="I710" s="614"/>
      <c r="J710" s="614">
        <f>ROUND(F710*G710,2)</f>
        <v>12.57</v>
      </c>
      <c r="K710" s="614">
        <f t="shared" si="151"/>
        <v>12.57</v>
      </c>
      <c r="L710" s="614"/>
      <c r="M710" s="614"/>
      <c r="N710" s="614"/>
      <c r="O710" s="614"/>
      <c r="P710" s="614"/>
    </row>
    <row r="711" spans="1:16" x14ac:dyDescent="0.25">
      <c r="A711" s="611" t="s">
        <v>277</v>
      </c>
      <c r="B711" s="611">
        <v>247</v>
      </c>
      <c r="C711" s="611"/>
      <c r="D711" s="612" t="s">
        <v>1070</v>
      </c>
      <c r="E711" s="611" t="s">
        <v>229</v>
      </c>
      <c r="F711" s="613">
        <v>1</v>
      </c>
      <c r="G711" s="614">
        <v>9.65</v>
      </c>
      <c r="H711" s="613"/>
      <c r="I711" s="614"/>
      <c r="J711" s="614">
        <f>ROUND(F711*G711,2)</f>
        <v>9.65</v>
      </c>
      <c r="K711" s="614">
        <f t="shared" si="151"/>
        <v>9.65</v>
      </c>
      <c r="L711" s="614"/>
      <c r="M711" s="614"/>
      <c r="N711" s="614"/>
      <c r="O711" s="614"/>
      <c r="P711" s="614"/>
    </row>
    <row r="712" spans="1:16" ht="24" x14ac:dyDescent="0.25">
      <c r="A712" s="619"/>
      <c r="B712" s="619"/>
      <c r="C712" s="619" t="s">
        <v>1532</v>
      </c>
      <c r="D712" s="620" t="s">
        <v>1533</v>
      </c>
      <c r="E712" s="619" t="s">
        <v>251</v>
      </c>
      <c r="F712" s="621"/>
      <c r="G712" s="622"/>
      <c r="H712" s="621">
        <v>10</v>
      </c>
      <c r="I712" s="622">
        <f>SUM(I713:I715)</f>
        <v>35.380000000000003</v>
      </c>
      <c r="J712" s="622">
        <f>SUM(J713:J715)</f>
        <v>11.120000000000001</v>
      </c>
      <c r="K712" s="622">
        <f>I712+J712</f>
        <v>46.5</v>
      </c>
      <c r="L712" s="622">
        <f>H712*I712</f>
        <v>353.8</v>
      </c>
      <c r="M712" s="622">
        <f>H712*J712</f>
        <v>111.20000000000002</v>
      </c>
      <c r="N712" s="622">
        <f>L712+M712</f>
        <v>465</v>
      </c>
      <c r="O712" s="622">
        <f>N712*$P$4</f>
        <v>114.20400000000001</v>
      </c>
      <c r="P712" s="622">
        <f>N712+O712</f>
        <v>579.20399999999995</v>
      </c>
    </row>
    <row r="713" spans="1:16" ht="96" x14ac:dyDescent="0.25">
      <c r="A713" s="611" t="s">
        <v>1108</v>
      </c>
      <c r="B713" s="611" t="s">
        <v>1534</v>
      </c>
      <c r="C713" s="611"/>
      <c r="D713" s="612" t="s">
        <v>1535</v>
      </c>
      <c r="E713" s="611" t="s">
        <v>251</v>
      </c>
      <c r="F713" s="613">
        <v>1</v>
      </c>
      <c r="G713" s="614">
        <v>35.380000000000003</v>
      </c>
      <c r="H713" s="613"/>
      <c r="I713" s="614">
        <f>ROUND(F713*G713,2)</f>
        <v>35.380000000000003</v>
      </c>
      <c r="J713" s="614"/>
      <c r="K713" s="614">
        <f t="shared" si="151"/>
        <v>35.380000000000003</v>
      </c>
      <c r="L713" s="614"/>
      <c r="M713" s="614"/>
      <c r="N713" s="614"/>
      <c r="O713" s="614"/>
      <c r="P713" s="614"/>
    </row>
    <row r="714" spans="1:16" x14ac:dyDescent="0.25">
      <c r="A714" s="611" t="s">
        <v>277</v>
      </c>
      <c r="B714" s="611">
        <v>2436</v>
      </c>
      <c r="C714" s="611"/>
      <c r="D714" s="612" t="s">
        <v>1069</v>
      </c>
      <c r="E714" s="611" t="s">
        <v>229</v>
      </c>
      <c r="F714" s="613">
        <v>0.5</v>
      </c>
      <c r="G714" s="614">
        <v>12.57</v>
      </c>
      <c r="H714" s="613"/>
      <c r="I714" s="614"/>
      <c r="J714" s="614">
        <f>ROUND(F714*G714,2)</f>
        <v>6.29</v>
      </c>
      <c r="K714" s="614">
        <f t="shared" si="151"/>
        <v>6.29</v>
      </c>
      <c r="L714" s="614"/>
      <c r="M714" s="614"/>
      <c r="N714" s="614"/>
      <c r="O714" s="614"/>
      <c r="P714" s="614"/>
    </row>
    <row r="715" spans="1:16" x14ac:dyDescent="0.25">
      <c r="A715" s="611" t="s">
        <v>277</v>
      </c>
      <c r="B715" s="611">
        <v>247</v>
      </c>
      <c r="C715" s="611"/>
      <c r="D715" s="612" t="s">
        <v>1070</v>
      </c>
      <c r="E715" s="611" t="s">
        <v>229</v>
      </c>
      <c r="F715" s="613">
        <v>0.5</v>
      </c>
      <c r="G715" s="614">
        <v>9.65</v>
      </c>
      <c r="H715" s="613"/>
      <c r="I715" s="614"/>
      <c r="J715" s="614">
        <f>ROUND(F715*G715,2)</f>
        <v>4.83</v>
      </c>
      <c r="K715" s="614">
        <f t="shared" si="151"/>
        <v>4.83</v>
      </c>
      <c r="L715" s="614"/>
      <c r="M715" s="614"/>
      <c r="N715" s="614"/>
      <c r="O715" s="614"/>
      <c r="P715" s="614"/>
    </row>
    <row r="716" spans="1:16" x14ac:dyDescent="0.25">
      <c r="A716" s="619"/>
      <c r="B716" s="619"/>
      <c r="C716" s="619" t="s">
        <v>1536</v>
      </c>
      <c r="D716" s="620" t="s">
        <v>1537</v>
      </c>
      <c r="E716" s="619" t="s">
        <v>251</v>
      </c>
      <c r="F716" s="621"/>
      <c r="G716" s="622"/>
      <c r="H716" s="621">
        <v>27</v>
      </c>
      <c r="I716" s="622">
        <f>SUM(I717:I719)</f>
        <v>37.56</v>
      </c>
      <c r="J716" s="622">
        <f>SUM(J717:J719)</f>
        <v>11.120000000000001</v>
      </c>
      <c r="K716" s="622">
        <f>I716+J716</f>
        <v>48.680000000000007</v>
      </c>
      <c r="L716" s="622">
        <f>H716*I716</f>
        <v>1014.1200000000001</v>
      </c>
      <c r="M716" s="622">
        <f>H716*J716</f>
        <v>300.24</v>
      </c>
      <c r="N716" s="622">
        <f>L716+M716</f>
        <v>1314.3600000000001</v>
      </c>
      <c r="O716" s="622">
        <f>N716*$P$4</f>
        <v>322.80681600000003</v>
      </c>
      <c r="P716" s="622">
        <f>N716+O716</f>
        <v>1637.1668160000002</v>
      </c>
    </row>
    <row r="717" spans="1:16" ht="96" x14ac:dyDescent="0.25">
      <c r="A717" s="611" t="s">
        <v>1108</v>
      </c>
      <c r="B717" s="611" t="s">
        <v>1538</v>
      </c>
      <c r="C717" s="611"/>
      <c r="D717" s="612" t="s">
        <v>1539</v>
      </c>
      <c r="E717" s="611" t="s">
        <v>251</v>
      </c>
      <c r="F717" s="613">
        <v>1</v>
      </c>
      <c r="G717" s="614">
        <v>37.56</v>
      </c>
      <c r="H717" s="613"/>
      <c r="I717" s="614">
        <f>ROUND(F717*G717,2)</f>
        <v>37.56</v>
      </c>
      <c r="J717" s="614"/>
      <c r="K717" s="614">
        <f>I717+J717</f>
        <v>37.56</v>
      </c>
      <c r="L717" s="614"/>
      <c r="M717" s="614"/>
      <c r="N717" s="614"/>
      <c r="O717" s="614"/>
      <c r="P717" s="614"/>
    </row>
    <row r="718" spans="1:16" x14ac:dyDescent="0.25">
      <c r="A718" s="611" t="s">
        <v>277</v>
      </c>
      <c r="B718" s="611">
        <v>2436</v>
      </c>
      <c r="C718" s="611"/>
      <c r="D718" s="612" t="s">
        <v>1069</v>
      </c>
      <c r="E718" s="611" t="s">
        <v>229</v>
      </c>
      <c r="F718" s="613">
        <v>0.5</v>
      </c>
      <c r="G718" s="614">
        <v>12.57</v>
      </c>
      <c r="H718" s="613"/>
      <c r="I718" s="614"/>
      <c r="J718" s="614">
        <f>ROUND(F718*G718,2)</f>
        <v>6.29</v>
      </c>
      <c r="K718" s="614">
        <f>I718+J718</f>
        <v>6.29</v>
      </c>
      <c r="L718" s="614"/>
      <c r="M718" s="614"/>
      <c r="N718" s="614"/>
      <c r="O718" s="614"/>
      <c r="P718" s="614"/>
    </row>
    <row r="719" spans="1:16" x14ac:dyDescent="0.25">
      <c r="A719" s="611" t="s">
        <v>277</v>
      </c>
      <c r="B719" s="611">
        <v>247</v>
      </c>
      <c r="C719" s="611"/>
      <c r="D719" s="612" t="s">
        <v>1070</v>
      </c>
      <c r="E719" s="611" t="s">
        <v>229</v>
      </c>
      <c r="F719" s="613">
        <v>0.5</v>
      </c>
      <c r="G719" s="614">
        <v>9.65</v>
      </c>
      <c r="H719" s="613"/>
      <c r="I719" s="614"/>
      <c r="J719" s="614">
        <f>ROUND(F719*G719,2)</f>
        <v>4.83</v>
      </c>
      <c r="K719" s="614">
        <f>I719+J719</f>
        <v>4.83</v>
      </c>
      <c r="L719" s="614"/>
      <c r="M719" s="614"/>
      <c r="N719" s="614"/>
      <c r="O719" s="614"/>
      <c r="P719" s="614"/>
    </row>
    <row r="720" spans="1:16" x14ac:dyDescent="0.25">
      <c r="A720" s="611"/>
      <c r="B720" s="611"/>
      <c r="C720" s="611"/>
      <c r="D720" s="612"/>
      <c r="E720" s="611"/>
      <c r="F720" s="613"/>
      <c r="G720" s="614"/>
      <c r="H720" s="613"/>
      <c r="I720" s="614"/>
      <c r="J720" s="614"/>
      <c r="K720" s="614"/>
      <c r="L720" s="614"/>
      <c r="M720" s="614"/>
      <c r="N720" s="614"/>
      <c r="O720" s="614"/>
      <c r="P720" s="614"/>
    </row>
    <row r="721" spans="1:16" s="618" customFormat="1" x14ac:dyDescent="0.25">
      <c r="A721" s="615"/>
      <c r="B721" s="615"/>
      <c r="C721" s="615" t="s">
        <v>1540</v>
      </c>
      <c r="D721" s="628" t="s">
        <v>1541</v>
      </c>
      <c r="E721" s="615"/>
      <c r="F721" s="616"/>
      <c r="G721" s="617"/>
      <c r="H721" s="616"/>
      <c r="I721" s="617"/>
      <c r="J721" s="617"/>
      <c r="K721" s="617"/>
      <c r="L721" s="617"/>
      <c r="M721" s="617"/>
      <c r="N721" s="617"/>
      <c r="O721" s="617"/>
      <c r="P721" s="617">
        <f>SUM(P723:P820)</f>
        <v>24458.016167999995</v>
      </c>
    </row>
    <row r="722" spans="1:16" x14ac:dyDescent="0.25">
      <c r="A722" s="611"/>
      <c r="B722" s="611"/>
      <c r="C722" s="611"/>
      <c r="D722" s="612"/>
      <c r="E722" s="611"/>
      <c r="F722" s="613"/>
      <c r="G722" s="614"/>
      <c r="H722" s="613"/>
      <c r="I722" s="614"/>
      <c r="J722" s="614"/>
      <c r="K722" s="614"/>
      <c r="L722" s="614"/>
      <c r="M722" s="614"/>
      <c r="N722" s="614"/>
      <c r="O722" s="614"/>
      <c r="P722" s="614"/>
    </row>
    <row r="723" spans="1:16" x14ac:dyDescent="0.25">
      <c r="A723" s="619"/>
      <c r="B723" s="619"/>
      <c r="C723" s="619" t="s">
        <v>1542</v>
      </c>
      <c r="D723" s="620" t="s">
        <v>1543</v>
      </c>
      <c r="E723" s="619"/>
      <c r="F723" s="621"/>
      <c r="G723" s="622"/>
      <c r="H723" s="621">
        <v>1</v>
      </c>
      <c r="I723" s="622">
        <f>SUM(I724:I741)</f>
        <v>3655.9199999999996</v>
      </c>
      <c r="J723" s="622">
        <f>SUM(J724:J741)</f>
        <v>413.6</v>
      </c>
      <c r="K723" s="622">
        <f>I723+J723</f>
        <v>4069.5199999999995</v>
      </c>
      <c r="L723" s="622">
        <f>H723*I723</f>
        <v>3655.9199999999996</v>
      </c>
      <c r="M723" s="622">
        <f>H723*J723</f>
        <v>413.6</v>
      </c>
      <c r="N723" s="622">
        <f>L723+M723</f>
        <v>4069.5199999999995</v>
      </c>
      <c r="O723" s="622">
        <f>N723*$P$4</f>
        <v>999.47411199999999</v>
      </c>
      <c r="P723" s="622">
        <f>N723+O723</f>
        <v>5068.9941119999994</v>
      </c>
    </row>
    <row r="724" spans="1:16" ht="156" x14ac:dyDescent="0.25">
      <c r="A724" s="611" t="s">
        <v>1108</v>
      </c>
      <c r="B724" s="636" t="s">
        <v>1544</v>
      </c>
      <c r="C724" s="611"/>
      <c r="D724" s="612" t="s">
        <v>1545</v>
      </c>
      <c r="E724" s="611" t="s">
        <v>251</v>
      </c>
      <c r="F724" s="613">
        <v>1</v>
      </c>
      <c r="G724" s="614">
        <v>958</v>
      </c>
      <c r="H724" s="613"/>
      <c r="I724" s="614">
        <f>ROUND(F724*G724,2)</f>
        <v>958</v>
      </c>
      <c r="J724" s="614"/>
      <c r="K724" s="614">
        <f t="shared" ref="K724:K741" si="152">I724+J724</f>
        <v>958</v>
      </c>
      <c r="L724" s="614"/>
      <c r="M724" s="614"/>
      <c r="N724" s="614"/>
      <c r="O724" s="614"/>
      <c r="P724" s="614"/>
    </row>
    <row r="725" spans="1:16" ht="24" x14ac:dyDescent="0.25">
      <c r="A725" s="611" t="s">
        <v>1108</v>
      </c>
      <c r="B725" s="636" t="s">
        <v>1546</v>
      </c>
      <c r="C725" s="611"/>
      <c r="D725" s="612" t="s">
        <v>1547</v>
      </c>
      <c r="E725" s="611" t="s">
        <v>1548</v>
      </c>
      <c r="F725" s="613">
        <f>2330+240</f>
        <v>2570</v>
      </c>
      <c r="G725" s="614">
        <v>9.9000000000000005E-2</v>
      </c>
      <c r="H725" s="613"/>
      <c r="I725" s="614">
        <f>ROUND(F725*G725,2)</f>
        <v>254.43</v>
      </c>
      <c r="J725" s="614"/>
      <c r="K725" s="614">
        <f t="shared" si="152"/>
        <v>254.43</v>
      </c>
      <c r="L725" s="614"/>
      <c r="M725" s="614"/>
      <c r="N725" s="614"/>
      <c r="O725" s="614"/>
      <c r="P725" s="614"/>
    </row>
    <row r="726" spans="1:16" ht="24" x14ac:dyDescent="0.25">
      <c r="A726" s="611" t="s">
        <v>1108</v>
      </c>
      <c r="B726" s="636" t="s">
        <v>1546</v>
      </c>
      <c r="C726" s="611"/>
      <c r="D726" s="612" t="s">
        <v>1549</v>
      </c>
      <c r="E726" s="611" t="s">
        <v>1548</v>
      </c>
      <c r="F726" s="613">
        <v>320</v>
      </c>
      <c r="G726" s="614">
        <v>4.9000000000000002E-2</v>
      </c>
      <c r="H726" s="613"/>
      <c r="I726" s="614">
        <f t="shared" ref="I726:I738" si="153">ROUND(F726*G726,2)</f>
        <v>15.68</v>
      </c>
      <c r="J726" s="614"/>
      <c r="K726" s="614">
        <f t="shared" si="152"/>
        <v>15.68</v>
      </c>
      <c r="L726" s="614"/>
      <c r="M726" s="614"/>
      <c r="N726" s="614"/>
      <c r="O726" s="614"/>
      <c r="P726" s="614"/>
    </row>
    <row r="727" spans="1:16" ht="24" x14ac:dyDescent="0.25">
      <c r="A727" s="611" t="s">
        <v>1108</v>
      </c>
      <c r="B727" s="636" t="s">
        <v>1546</v>
      </c>
      <c r="C727" s="611"/>
      <c r="D727" s="612" t="s">
        <v>1550</v>
      </c>
      <c r="E727" s="611" t="s">
        <v>1548</v>
      </c>
      <c r="F727" s="613">
        <v>600</v>
      </c>
      <c r="G727" s="614">
        <v>4.2999999999999997E-2</v>
      </c>
      <c r="H727" s="613"/>
      <c r="I727" s="614">
        <f t="shared" si="153"/>
        <v>25.8</v>
      </c>
      <c r="J727" s="614"/>
      <c r="K727" s="614">
        <f t="shared" si="152"/>
        <v>25.8</v>
      </c>
      <c r="L727" s="614"/>
      <c r="M727" s="614"/>
      <c r="N727" s="614"/>
      <c r="O727" s="614"/>
      <c r="P727" s="614"/>
    </row>
    <row r="728" spans="1:16" ht="24" x14ac:dyDescent="0.25">
      <c r="A728" s="611" t="s">
        <v>1108</v>
      </c>
      <c r="B728" s="636" t="s">
        <v>1546</v>
      </c>
      <c r="C728" s="611"/>
      <c r="D728" s="612" t="s">
        <v>1551</v>
      </c>
      <c r="E728" s="611" t="s">
        <v>1548</v>
      </c>
      <c r="F728" s="613">
        <v>1800</v>
      </c>
      <c r="G728" s="614">
        <v>2.1000000000000001E-2</v>
      </c>
      <c r="H728" s="613"/>
      <c r="I728" s="614">
        <f t="shared" si="153"/>
        <v>37.799999999999997</v>
      </c>
      <c r="J728" s="614"/>
      <c r="K728" s="614">
        <f t="shared" si="152"/>
        <v>37.799999999999997</v>
      </c>
      <c r="L728" s="614"/>
      <c r="M728" s="614"/>
      <c r="N728" s="614"/>
      <c r="O728" s="614"/>
      <c r="P728" s="614"/>
    </row>
    <row r="729" spans="1:16" ht="24" x14ac:dyDescent="0.25">
      <c r="A729" s="611" t="s">
        <v>1108</v>
      </c>
      <c r="B729" s="636" t="s">
        <v>1546</v>
      </c>
      <c r="C729" s="611"/>
      <c r="D729" s="612" t="s">
        <v>1552</v>
      </c>
      <c r="E729" s="611" t="s">
        <v>1548</v>
      </c>
      <c r="F729" s="613">
        <v>2400</v>
      </c>
      <c r="G729" s="614">
        <v>1.2E-2</v>
      </c>
      <c r="H729" s="613"/>
      <c r="I729" s="614">
        <f t="shared" si="153"/>
        <v>28.8</v>
      </c>
      <c r="J729" s="614"/>
      <c r="K729" s="614">
        <f t="shared" si="152"/>
        <v>28.8</v>
      </c>
      <c r="L729" s="614"/>
      <c r="M729" s="614"/>
      <c r="N729" s="614"/>
      <c r="O729" s="614"/>
      <c r="P729" s="614"/>
    </row>
    <row r="730" spans="1:16" x14ac:dyDescent="0.25">
      <c r="A730" s="611" t="s">
        <v>277</v>
      </c>
      <c r="B730" s="611">
        <v>2379</v>
      </c>
      <c r="C730" s="611"/>
      <c r="D730" s="612" t="s">
        <v>1553</v>
      </c>
      <c r="E730" s="611" t="s">
        <v>251</v>
      </c>
      <c r="F730" s="613">
        <v>1</v>
      </c>
      <c r="G730" s="614">
        <v>869.85</v>
      </c>
      <c r="H730" s="613"/>
      <c r="I730" s="614">
        <f t="shared" si="153"/>
        <v>869.85</v>
      </c>
      <c r="J730" s="614"/>
      <c r="K730" s="614">
        <f t="shared" si="152"/>
        <v>869.85</v>
      </c>
      <c r="L730" s="614"/>
      <c r="M730" s="614"/>
      <c r="N730" s="614"/>
      <c r="O730" s="614"/>
      <c r="P730" s="614"/>
    </row>
    <row r="731" spans="1:16" x14ac:dyDescent="0.25">
      <c r="A731" s="611" t="s">
        <v>1108</v>
      </c>
      <c r="B731" s="611" t="s">
        <v>1554</v>
      </c>
      <c r="C731" s="611"/>
      <c r="D731" s="612" t="s">
        <v>1555</v>
      </c>
      <c r="E731" s="611" t="s">
        <v>251</v>
      </c>
      <c r="F731" s="613">
        <v>4</v>
      </c>
      <c r="G731" s="614">
        <v>55.86</v>
      </c>
      <c r="H731" s="613"/>
      <c r="I731" s="614">
        <f t="shared" si="153"/>
        <v>223.44</v>
      </c>
      <c r="J731" s="614"/>
      <c r="K731" s="614">
        <f t="shared" si="152"/>
        <v>223.44</v>
      </c>
      <c r="L731" s="614"/>
      <c r="M731" s="614"/>
      <c r="N731" s="614"/>
      <c r="O731" s="614"/>
      <c r="P731" s="614"/>
    </row>
    <row r="732" spans="1:16" x14ac:dyDescent="0.25">
      <c r="A732" s="611" t="s">
        <v>277</v>
      </c>
      <c r="B732" s="611">
        <v>34653</v>
      </c>
      <c r="C732" s="611"/>
      <c r="D732" s="612" t="s">
        <v>1556</v>
      </c>
      <c r="E732" s="611" t="s">
        <v>251</v>
      </c>
      <c r="F732" s="613">
        <v>8</v>
      </c>
      <c r="G732" s="614">
        <v>6.2</v>
      </c>
      <c r="H732" s="613"/>
      <c r="I732" s="614">
        <f t="shared" si="153"/>
        <v>49.6</v>
      </c>
      <c r="J732" s="614"/>
      <c r="K732" s="614">
        <f t="shared" si="152"/>
        <v>49.6</v>
      </c>
      <c r="L732" s="614"/>
      <c r="M732" s="614"/>
      <c r="N732" s="614"/>
      <c r="O732" s="614"/>
      <c r="P732" s="614"/>
    </row>
    <row r="733" spans="1:16" x14ac:dyDescent="0.25">
      <c r="A733" s="611" t="s">
        <v>277</v>
      </c>
      <c r="B733" s="611">
        <v>34623</v>
      </c>
      <c r="C733" s="611"/>
      <c r="D733" s="612" t="s">
        <v>1557</v>
      </c>
      <c r="E733" s="611" t="s">
        <v>251</v>
      </c>
      <c r="F733" s="613">
        <v>1</v>
      </c>
      <c r="G733" s="614">
        <v>35</v>
      </c>
      <c r="H733" s="613"/>
      <c r="I733" s="614">
        <f t="shared" si="153"/>
        <v>35</v>
      </c>
      <c r="J733" s="614"/>
      <c r="K733" s="614">
        <f t="shared" si="152"/>
        <v>35</v>
      </c>
      <c r="L733" s="614"/>
      <c r="M733" s="614"/>
      <c r="N733" s="614"/>
      <c r="O733" s="614"/>
      <c r="P733" s="614"/>
    </row>
    <row r="734" spans="1:16" x14ac:dyDescent="0.25">
      <c r="A734" s="611" t="s">
        <v>277</v>
      </c>
      <c r="B734" s="611">
        <v>34714</v>
      </c>
      <c r="C734" s="611"/>
      <c r="D734" s="612" t="s">
        <v>1558</v>
      </c>
      <c r="E734" s="611" t="s">
        <v>251</v>
      </c>
      <c r="F734" s="613">
        <v>2</v>
      </c>
      <c r="G734" s="614">
        <v>52.01</v>
      </c>
      <c r="H734" s="613"/>
      <c r="I734" s="614">
        <f t="shared" si="153"/>
        <v>104.02</v>
      </c>
      <c r="J734" s="614"/>
      <c r="K734" s="614">
        <f t="shared" si="152"/>
        <v>104.02</v>
      </c>
      <c r="L734" s="614"/>
      <c r="M734" s="614"/>
      <c r="N734" s="614"/>
      <c r="O734" s="614"/>
      <c r="P734" s="614"/>
    </row>
    <row r="735" spans="1:16" x14ac:dyDescent="0.25">
      <c r="A735" s="611" t="s">
        <v>277</v>
      </c>
      <c r="B735" s="611">
        <v>2373</v>
      </c>
      <c r="C735" s="611"/>
      <c r="D735" s="612" t="s">
        <v>1559</v>
      </c>
      <c r="E735" s="611" t="s">
        <v>251</v>
      </c>
      <c r="F735" s="613">
        <v>3</v>
      </c>
      <c r="G735" s="614">
        <v>75.95</v>
      </c>
      <c r="H735" s="613"/>
      <c r="I735" s="614">
        <f t="shared" si="153"/>
        <v>227.85</v>
      </c>
      <c r="J735" s="614"/>
      <c r="K735" s="614">
        <f t="shared" si="152"/>
        <v>227.85</v>
      </c>
      <c r="L735" s="614"/>
      <c r="M735" s="614"/>
      <c r="N735" s="614"/>
      <c r="O735" s="614"/>
      <c r="P735" s="614"/>
    </row>
    <row r="736" spans="1:16" x14ac:dyDescent="0.25">
      <c r="A736" s="611" t="s">
        <v>277</v>
      </c>
      <c r="B736" s="611">
        <v>2391</v>
      </c>
      <c r="C736" s="611"/>
      <c r="D736" s="612" t="s">
        <v>1560</v>
      </c>
      <c r="E736" s="611" t="s">
        <v>251</v>
      </c>
      <c r="F736" s="613">
        <v>1</v>
      </c>
      <c r="G736" s="614">
        <v>237.51</v>
      </c>
      <c r="H736" s="613"/>
      <c r="I736" s="614">
        <f t="shared" si="153"/>
        <v>237.51</v>
      </c>
      <c r="J736" s="614"/>
      <c r="K736" s="614">
        <f t="shared" si="152"/>
        <v>237.51</v>
      </c>
      <c r="L736" s="614"/>
      <c r="M736" s="614"/>
      <c r="N736" s="614"/>
      <c r="O736" s="614"/>
      <c r="P736" s="614"/>
    </row>
    <row r="737" spans="1:16" x14ac:dyDescent="0.25">
      <c r="A737" s="611" t="s">
        <v>277</v>
      </c>
      <c r="B737" s="611">
        <v>2377</v>
      </c>
      <c r="C737" s="611"/>
      <c r="D737" s="612" t="s">
        <v>1561</v>
      </c>
      <c r="E737" s="611" t="s">
        <v>251</v>
      </c>
      <c r="F737" s="613">
        <v>1</v>
      </c>
      <c r="G737" s="614">
        <v>378.14</v>
      </c>
      <c r="H737" s="613"/>
      <c r="I737" s="614">
        <f t="shared" si="153"/>
        <v>378.14</v>
      </c>
      <c r="J737" s="614"/>
      <c r="K737" s="614">
        <f t="shared" si="152"/>
        <v>378.14</v>
      </c>
      <c r="L737" s="614"/>
      <c r="M737" s="614"/>
      <c r="N737" s="614"/>
      <c r="O737" s="614"/>
      <c r="P737" s="614"/>
    </row>
    <row r="738" spans="1:16" ht="24" x14ac:dyDescent="0.25">
      <c r="A738" s="611" t="s">
        <v>1108</v>
      </c>
      <c r="B738" s="611" t="s">
        <v>1562</v>
      </c>
      <c r="C738" s="611"/>
      <c r="D738" s="612" t="s">
        <v>1563</v>
      </c>
      <c r="E738" s="611" t="s">
        <v>251</v>
      </c>
      <c r="F738" s="613">
        <v>4</v>
      </c>
      <c r="G738" s="614">
        <v>35</v>
      </c>
      <c r="H738" s="613"/>
      <c r="I738" s="614">
        <f t="shared" si="153"/>
        <v>140</v>
      </c>
      <c r="J738" s="614"/>
      <c r="K738" s="614">
        <f t="shared" si="152"/>
        <v>140</v>
      </c>
      <c r="L738" s="614"/>
      <c r="M738" s="614"/>
      <c r="N738" s="614"/>
      <c r="O738" s="614"/>
      <c r="P738" s="614"/>
    </row>
    <row r="739" spans="1:16" x14ac:dyDescent="0.25">
      <c r="A739" s="611" t="s">
        <v>1200</v>
      </c>
      <c r="B739" s="611"/>
      <c r="C739" s="611"/>
      <c r="D739" s="612" t="s">
        <v>1564</v>
      </c>
      <c r="E739" s="611" t="s">
        <v>135</v>
      </c>
      <c r="F739" s="613">
        <v>1</v>
      </c>
      <c r="G739" s="614">
        <v>70</v>
      </c>
      <c r="H739" s="613"/>
      <c r="I739" s="614">
        <f>ROUND(F739*G739,2)</f>
        <v>70</v>
      </c>
      <c r="J739" s="614"/>
      <c r="K739" s="614">
        <f t="shared" si="152"/>
        <v>70</v>
      </c>
      <c r="L739" s="614"/>
      <c r="M739" s="614"/>
      <c r="N739" s="614"/>
      <c r="O739" s="614"/>
      <c r="P739" s="614"/>
    </row>
    <row r="740" spans="1:16" x14ac:dyDescent="0.25">
      <c r="A740" s="611" t="s">
        <v>277</v>
      </c>
      <c r="B740" s="611">
        <v>2439</v>
      </c>
      <c r="C740" s="611"/>
      <c r="D740" s="612" t="s">
        <v>878</v>
      </c>
      <c r="E740" s="611" t="s">
        <v>229</v>
      </c>
      <c r="F740" s="613">
        <v>16</v>
      </c>
      <c r="G740" s="614">
        <v>16.2</v>
      </c>
      <c r="H740" s="613"/>
      <c r="I740" s="614"/>
      <c r="J740" s="614">
        <f>ROUND(F740*G740,2)</f>
        <v>259.2</v>
      </c>
      <c r="K740" s="614">
        <f t="shared" si="152"/>
        <v>259.2</v>
      </c>
      <c r="L740" s="614"/>
      <c r="M740" s="614"/>
      <c r="N740" s="614"/>
      <c r="O740" s="614"/>
      <c r="P740" s="614"/>
    </row>
    <row r="741" spans="1:16" x14ac:dyDescent="0.25">
      <c r="A741" s="611" t="s">
        <v>277</v>
      </c>
      <c r="B741" s="611">
        <v>247</v>
      </c>
      <c r="C741" s="611"/>
      <c r="D741" s="612" t="s">
        <v>1070</v>
      </c>
      <c r="E741" s="611" t="s">
        <v>229</v>
      </c>
      <c r="F741" s="613">
        <v>16</v>
      </c>
      <c r="G741" s="614">
        <v>9.65</v>
      </c>
      <c r="H741" s="613"/>
      <c r="I741" s="614"/>
      <c r="J741" s="614">
        <f>ROUND(F741*G741,2)</f>
        <v>154.4</v>
      </c>
      <c r="K741" s="614">
        <f t="shared" si="152"/>
        <v>154.4</v>
      </c>
      <c r="L741" s="614"/>
      <c r="M741" s="614"/>
      <c r="N741" s="614"/>
      <c r="O741" s="614"/>
      <c r="P741" s="614"/>
    </row>
    <row r="742" spans="1:16" x14ac:dyDescent="0.25">
      <c r="A742" s="619"/>
      <c r="B742" s="619"/>
      <c r="C742" s="619" t="s">
        <v>1565</v>
      </c>
      <c r="D742" s="620" t="s">
        <v>1566</v>
      </c>
      <c r="E742" s="619" t="s">
        <v>251</v>
      </c>
      <c r="F742" s="621"/>
      <c r="G742" s="622"/>
      <c r="H742" s="621">
        <v>1</v>
      </c>
      <c r="I742" s="622">
        <f>SUM(I743:I751)</f>
        <v>1205.18</v>
      </c>
      <c r="J742" s="622">
        <f>SUM(J743:J751)</f>
        <v>206.8</v>
      </c>
      <c r="K742" s="622">
        <f>I742+J742</f>
        <v>1411.98</v>
      </c>
      <c r="L742" s="622">
        <f>H742*I742</f>
        <v>1205.18</v>
      </c>
      <c r="M742" s="622">
        <f>H742*J742</f>
        <v>206.8</v>
      </c>
      <c r="N742" s="622">
        <f>L742+M742</f>
        <v>1411.98</v>
      </c>
      <c r="O742" s="622">
        <f>N742*$P$4</f>
        <v>346.78228799999999</v>
      </c>
      <c r="P742" s="622">
        <f>N742+O742</f>
        <v>1758.7622879999999</v>
      </c>
    </row>
    <row r="743" spans="1:16" ht="144" x14ac:dyDescent="0.25">
      <c r="A743" s="611" t="s">
        <v>278</v>
      </c>
      <c r="B743" s="611" t="s">
        <v>1567</v>
      </c>
      <c r="C743" s="611"/>
      <c r="D743" s="612" t="s">
        <v>1568</v>
      </c>
      <c r="E743" s="611" t="s">
        <v>251</v>
      </c>
      <c r="F743" s="613">
        <v>1</v>
      </c>
      <c r="G743" s="614">
        <v>488.89</v>
      </c>
      <c r="H743" s="613"/>
      <c r="I743" s="614">
        <f t="shared" ref="I743:I748" si="154">ROUND(F743*G743,2)</f>
        <v>488.89</v>
      </c>
      <c r="J743" s="614"/>
      <c r="K743" s="614">
        <f t="shared" ref="K743:K751" si="155">I743+J743</f>
        <v>488.89</v>
      </c>
      <c r="L743" s="614"/>
      <c r="M743" s="614"/>
      <c r="N743" s="614"/>
      <c r="O743" s="614"/>
      <c r="P743" s="614"/>
    </row>
    <row r="744" spans="1:16" x14ac:dyDescent="0.25">
      <c r="A744" s="611" t="s">
        <v>277</v>
      </c>
      <c r="B744" s="611">
        <v>34709</v>
      </c>
      <c r="C744" s="611"/>
      <c r="D744" s="612" t="s">
        <v>1569</v>
      </c>
      <c r="E744" s="611" t="s">
        <v>251</v>
      </c>
      <c r="F744" s="613">
        <v>3</v>
      </c>
      <c r="G744" s="614">
        <v>43.54</v>
      </c>
      <c r="H744" s="613"/>
      <c r="I744" s="614">
        <f t="shared" si="154"/>
        <v>130.62</v>
      </c>
      <c r="J744" s="614"/>
      <c r="K744" s="614">
        <f t="shared" si="155"/>
        <v>130.62</v>
      </c>
      <c r="L744" s="614"/>
      <c r="M744" s="614"/>
      <c r="N744" s="614"/>
      <c r="O744" s="614"/>
      <c r="P744" s="614"/>
    </row>
    <row r="745" spans="1:16" x14ac:dyDescent="0.25">
      <c r="A745" s="611" t="s">
        <v>277</v>
      </c>
      <c r="B745" s="611">
        <v>34714</v>
      </c>
      <c r="C745" s="611"/>
      <c r="D745" s="612" t="s">
        <v>1570</v>
      </c>
      <c r="E745" s="611" t="s">
        <v>251</v>
      </c>
      <c r="F745" s="613">
        <v>3</v>
      </c>
      <c r="G745" s="614">
        <v>52.01</v>
      </c>
      <c r="H745" s="613"/>
      <c r="I745" s="614">
        <f t="shared" si="154"/>
        <v>156.03</v>
      </c>
      <c r="J745" s="614"/>
      <c r="K745" s="614">
        <f t="shared" si="155"/>
        <v>156.03</v>
      </c>
      <c r="L745" s="614"/>
      <c r="M745" s="614"/>
      <c r="N745" s="614"/>
      <c r="O745" s="614"/>
      <c r="P745" s="614"/>
    </row>
    <row r="746" spans="1:16" x14ac:dyDescent="0.25">
      <c r="A746" s="611" t="s">
        <v>277</v>
      </c>
      <c r="B746" s="611">
        <v>34653</v>
      </c>
      <c r="C746" s="611"/>
      <c r="D746" s="612" t="s">
        <v>1556</v>
      </c>
      <c r="E746" s="611" t="s">
        <v>251</v>
      </c>
      <c r="F746" s="613">
        <v>1</v>
      </c>
      <c r="G746" s="614">
        <v>6.2</v>
      </c>
      <c r="H746" s="613"/>
      <c r="I746" s="614">
        <f t="shared" si="154"/>
        <v>6.2</v>
      </c>
      <c r="J746" s="614"/>
      <c r="K746" s="614">
        <f t="shared" si="155"/>
        <v>6.2</v>
      </c>
      <c r="L746" s="614"/>
      <c r="M746" s="614"/>
      <c r="N746" s="614"/>
      <c r="O746" s="614"/>
      <c r="P746" s="614"/>
    </row>
    <row r="747" spans="1:16" x14ac:dyDescent="0.25">
      <c r="A747" s="611" t="s">
        <v>1108</v>
      </c>
      <c r="B747" s="611" t="s">
        <v>1554</v>
      </c>
      <c r="C747" s="611"/>
      <c r="D747" s="612" t="s">
        <v>1555</v>
      </c>
      <c r="E747" s="611" t="s">
        <v>251</v>
      </c>
      <c r="F747" s="613">
        <v>4</v>
      </c>
      <c r="G747" s="614">
        <v>55.86</v>
      </c>
      <c r="H747" s="613"/>
      <c r="I747" s="614">
        <f t="shared" si="154"/>
        <v>223.44</v>
      </c>
      <c r="J747" s="614"/>
      <c r="K747" s="614">
        <f t="shared" si="155"/>
        <v>223.44</v>
      </c>
      <c r="L747" s="614"/>
      <c r="M747" s="614"/>
      <c r="N747" s="614"/>
      <c r="O747" s="614"/>
      <c r="P747" s="614"/>
    </row>
    <row r="748" spans="1:16" ht="24" x14ac:dyDescent="0.25">
      <c r="A748" s="611" t="s">
        <v>1108</v>
      </c>
      <c r="B748" s="611" t="s">
        <v>1571</v>
      </c>
      <c r="C748" s="611"/>
      <c r="D748" s="612" t="s">
        <v>1572</v>
      </c>
      <c r="E748" s="611" t="s">
        <v>251</v>
      </c>
      <c r="F748" s="613">
        <v>1</v>
      </c>
      <c r="G748" s="614">
        <v>170</v>
      </c>
      <c r="H748" s="613"/>
      <c r="I748" s="614">
        <f t="shared" si="154"/>
        <v>170</v>
      </c>
      <c r="J748" s="614"/>
      <c r="K748" s="614">
        <f t="shared" si="155"/>
        <v>170</v>
      </c>
      <c r="L748" s="614"/>
      <c r="M748" s="614"/>
      <c r="N748" s="614"/>
      <c r="O748" s="614"/>
      <c r="P748" s="614"/>
    </row>
    <row r="749" spans="1:16" x14ac:dyDescent="0.25">
      <c r="A749" s="611" t="s">
        <v>1200</v>
      </c>
      <c r="B749" s="611"/>
      <c r="C749" s="611"/>
      <c r="D749" s="612" t="s">
        <v>1564</v>
      </c>
      <c r="E749" s="611" t="s">
        <v>135</v>
      </c>
      <c r="F749" s="613">
        <v>1</v>
      </c>
      <c r="G749" s="614">
        <v>30</v>
      </c>
      <c r="H749" s="613"/>
      <c r="I749" s="614">
        <f>ROUND(F749*G749,2)</f>
        <v>30</v>
      </c>
      <c r="J749" s="614"/>
      <c r="K749" s="614">
        <f t="shared" si="155"/>
        <v>30</v>
      </c>
      <c r="L749" s="614"/>
      <c r="M749" s="614"/>
      <c r="N749" s="614"/>
      <c r="O749" s="614"/>
      <c r="P749" s="614"/>
    </row>
    <row r="750" spans="1:16" x14ac:dyDescent="0.25">
      <c r="A750" s="611" t="s">
        <v>277</v>
      </c>
      <c r="B750" s="611">
        <v>2439</v>
      </c>
      <c r="C750" s="611"/>
      <c r="D750" s="612" t="s">
        <v>878</v>
      </c>
      <c r="E750" s="611" t="s">
        <v>229</v>
      </c>
      <c r="F750" s="613">
        <v>8</v>
      </c>
      <c r="G750" s="614">
        <v>16.2</v>
      </c>
      <c r="H750" s="613"/>
      <c r="I750" s="614"/>
      <c r="J750" s="614">
        <f>ROUND(F750*G750,2)</f>
        <v>129.6</v>
      </c>
      <c r="K750" s="614">
        <f t="shared" si="155"/>
        <v>129.6</v>
      </c>
      <c r="L750" s="614"/>
      <c r="M750" s="614"/>
      <c r="N750" s="614"/>
      <c r="O750" s="614"/>
      <c r="P750" s="614"/>
    </row>
    <row r="751" spans="1:16" x14ac:dyDescent="0.25">
      <c r="A751" s="611" t="s">
        <v>277</v>
      </c>
      <c r="B751" s="611">
        <v>247</v>
      </c>
      <c r="C751" s="611"/>
      <c r="D751" s="612" t="s">
        <v>1070</v>
      </c>
      <c r="E751" s="611" t="s">
        <v>229</v>
      </c>
      <c r="F751" s="613">
        <v>8</v>
      </c>
      <c r="G751" s="614">
        <v>9.65</v>
      </c>
      <c r="H751" s="613"/>
      <c r="I751" s="614"/>
      <c r="J751" s="614">
        <f>ROUND(F751*G751,2)</f>
        <v>77.2</v>
      </c>
      <c r="K751" s="614">
        <f t="shared" si="155"/>
        <v>77.2</v>
      </c>
      <c r="L751" s="614"/>
      <c r="M751" s="614"/>
      <c r="N751" s="614"/>
      <c r="O751" s="614"/>
      <c r="P751" s="614"/>
    </row>
    <row r="752" spans="1:16" x14ac:dyDescent="0.25">
      <c r="A752" s="619"/>
      <c r="B752" s="619"/>
      <c r="C752" s="619" t="s">
        <v>1573</v>
      </c>
      <c r="D752" s="620" t="s">
        <v>1574</v>
      </c>
      <c r="E752" s="619" t="s">
        <v>251</v>
      </c>
      <c r="F752" s="621"/>
      <c r="G752" s="622"/>
      <c r="H752" s="621">
        <v>1</v>
      </c>
      <c r="I752" s="622">
        <f>SUM(I753:I759)</f>
        <v>1348.32</v>
      </c>
      <c r="J752" s="622">
        <f>SUM(J753:J759)</f>
        <v>206.8</v>
      </c>
      <c r="K752" s="622">
        <f>I752+J752</f>
        <v>1555.12</v>
      </c>
      <c r="L752" s="622">
        <f>H752*I752</f>
        <v>1348.32</v>
      </c>
      <c r="M752" s="622">
        <f>H752*J752</f>
        <v>206.8</v>
      </c>
      <c r="N752" s="622">
        <f>L752+M752</f>
        <v>1555.12</v>
      </c>
      <c r="O752" s="622">
        <f>N752*$P$4</f>
        <v>381.93747200000001</v>
      </c>
      <c r="P752" s="622">
        <f>N752+O752</f>
        <v>1937.057472</v>
      </c>
    </row>
    <row r="753" spans="1:16" ht="156" x14ac:dyDescent="0.25">
      <c r="A753" s="611" t="s">
        <v>278</v>
      </c>
      <c r="B753" s="611" t="s">
        <v>1567</v>
      </c>
      <c r="C753" s="611"/>
      <c r="D753" s="612" t="s">
        <v>1575</v>
      </c>
      <c r="E753" s="611" t="s">
        <v>251</v>
      </c>
      <c r="F753" s="613">
        <v>1</v>
      </c>
      <c r="G753" s="614">
        <v>488.89</v>
      </c>
      <c r="H753" s="613"/>
      <c r="I753" s="614">
        <f t="shared" ref="I753:I756" si="156">ROUND(F753*G753,2)</f>
        <v>488.89</v>
      </c>
      <c r="J753" s="614"/>
      <c r="K753" s="614">
        <f t="shared" ref="K753:K759" si="157">I753+J753</f>
        <v>488.89</v>
      </c>
      <c r="L753" s="614"/>
      <c r="M753" s="614"/>
      <c r="N753" s="614"/>
      <c r="O753" s="614"/>
      <c r="P753" s="614"/>
    </row>
    <row r="754" spans="1:16" x14ac:dyDescent="0.25">
      <c r="A754" s="611" t="s">
        <v>277</v>
      </c>
      <c r="B754" s="611">
        <v>2377</v>
      </c>
      <c r="C754" s="611"/>
      <c r="D754" s="612" t="s">
        <v>1561</v>
      </c>
      <c r="E754" s="611" t="s">
        <v>251</v>
      </c>
      <c r="F754" s="613">
        <v>1</v>
      </c>
      <c r="G754" s="614">
        <v>378.14</v>
      </c>
      <c r="H754" s="613"/>
      <c r="I754" s="614">
        <f t="shared" si="156"/>
        <v>378.14</v>
      </c>
      <c r="J754" s="614"/>
      <c r="K754" s="614">
        <f t="shared" si="157"/>
        <v>378.14</v>
      </c>
      <c r="L754" s="614"/>
      <c r="M754" s="614"/>
      <c r="N754" s="614"/>
      <c r="O754" s="614"/>
      <c r="P754" s="614"/>
    </row>
    <row r="755" spans="1:16" x14ac:dyDescent="0.25">
      <c r="A755" s="611" t="s">
        <v>277</v>
      </c>
      <c r="B755" s="611">
        <v>2373</v>
      </c>
      <c r="C755" s="611"/>
      <c r="D755" s="612" t="s">
        <v>1559</v>
      </c>
      <c r="E755" s="611" t="s">
        <v>251</v>
      </c>
      <c r="F755" s="613">
        <v>3</v>
      </c>
      <c r="G755" s="614">
        <v>75.95</v>
      </c>
      <c r="H755" s="613"/>
      <c r="I755" s="614">
        <f t="shared" si="156"/>
        <v>227.85</v>
      </c>
      <c r="J755" s="614"/>
      <c r="K755" s="614">
        <f t="shared" si="157"/>
        <v>227.85</v>
      </c>
      <c r="L755" s="614"/>
      <c r="M755" s="614"/>
      <c r="N755" s="614"/>
      <c r="O755" s="614"/>
      <c r="P755" s="614"/>
    </row>
    <row r="756" spans="1:16" x14ac:dyDescent="0.25">
      <c r="A756" s="611" t="s">
        <v>1108</v>
      </c>
      <c r="B756" s="611" t="s">
        <v>1554</v>
      </c>
      <c r="C756" s="611"/>
      <c r="D756" s="612" t="s">
        <v>1555</v>
      </c>
      <c r="E756" s="611" t="s">
        <v>251</v>
      </c>
      <c r="F756" s="613">
        <v>4</v>
      </c>
      <c r="G756" s="614">
        <v>55.86</v>
      </c>
      <c r="H756" s="613"/>
      <c r="I756" s="614">
        <f t="shared" si="156"/>
        <v>223.44</v>
      </c>
      <c r="J756" s="614"/>
      <c r="K756" s="614">
        <f t="shared" si="157"/>
        <v>223.44</v>
      </c>
      <c r="L756" s="614"/>
      <c r="M756" s="614"/>
      <c r="N756" s="614"/>
      <c r="O756" s="614"/>
      <c r="P756" s="614"/>
    </row>
    <row r="757" spans="1:16" x14ac:dyDescent="0.25">
      <c r="A757" s="611" t="s">
        <v>1200</v>
      </c>
      <c r="B757" s="611"/>
      <c r="C757" s="611"/>
      <c r="D757" s="612" t="s">
        <v>1564</v>
      </c>
      <c r="E757" s="611" t="s">
        <v>135</v>
      </c>
      <c r="F757" s="613">
        <v>1</v>
      </c>
      <c r="G757" s="614">
        <v>30</v>
      </c>
      <c r="H757" s="613"/>
      <c r="I757" s="614">
        <f>ROUND(F757*G757,2)</f>
        <v>30</v>
      </c>
      <c r="J757" s="614"/>
      <c r="K757" s="614">
        <f t="shared" si="157"/>
        <v>30</v>
      </c>
      <c r="L757" s="614"/>
      <c r="M757" s="614"/>
      <c r="N757" s="614"/>
      <c r="O757" s="614"/>
      <c r="P757" s="614"/>
    </row>
    <row r="758" spans="1:16" x14ac:dyDescent="0.25">
      <c r="A758" s="611" t="s">
        <v>277</v>
      </c>
      <c r="B758" s="611">
        <v>2439</v>
      </c>
      <c r="C758" s="611"/>
      <c r="D758" s="612" t="s">
        <v>878</v>
      </c>
      <c r="E758" s="611" t="s">
        <v>229</v>
      </c>
      <c r="F758" s="613">
        <v>8</v>
      </c>
      <c r="G758" s="614">
        <v>16.2</v>
      </c>
      <c r="H758" s="613"/>
      <c r="I758" s="614"/>
      <c r="J758" s="614">
        <f>ROUND(F758*G758,2)</f>
        <v>129.6</v>
      </c>
      <c r="K758" s="614">
        <f t="shared" si="157"/>
        <v>129.6</v>
      </c>
      <c r="L758" s="614"/>
      <c r="M758" s="614"/>
      <c r="N758" s="614"/>
      <c r="O758" s="614"/>
      <c r="P758" s="614"/>
    </row>
    <row r="759" spans="1:16" x14ac:dyDescent="0.25">
      <c r="A759" s="611" t="s">
        <v>277</v>
      </c>
      <c r="B759" s="611">
        <v>247</v>
      </c>
      <c r="C759" s="611"/>
      <c r="D759" s="612" t="s">
        <v>1070</v>
      </c>
      <c r="E759" s="611" t="s">
        <v>229</v>
      </c>
      <c r="F759" s="613">
        <v>8</v>
      </c>
      <c r="G759" s="614">
        <v>9.65</v>
      </c>
      <c r="H759" s="613"/>
      <c r="I759" s="614"/>
      <c r="J759" s="614">
        <f>ROUND(F759*G759,2)</f>
        <v>77.2</v>
      </c>
      <c r="K759" s="614">
        <f t="shared" si="157"/>
        <v>77.2</v>
      </c>
      <c r="L759" s="614"/>
      <c r="M759" s="614"/>
      <c r="N759" s="614"/>
      <c r="O759" s="614"/>
      <c r="P759" s="614"/>
    </row>
    <row r="760" spans="1:16" x14ac:dyDescent="0.25">
      <c r="A760" s="619"/>
      <c r="B760" s="619"/>
      <c r="C760" s="619" t="s">
        <v>1576</v>
      </c>
      <c r="D760" s="620" t="s">
        <v>1577</v>
      </c>
      <c r="E760" s="619" t="s">
        <v>251</v>
      </c>
      <c r="F760" s="621"/>
      <c r="G760" s="622"/>
      <c r="H760" s="621">
        <v>1</v>
      </c>
      <c r="I760" s="622">
        <f>SUM(I761:I772)</f>
        <v>457.70999999999992</v>
      </c>
      <c r="J760" s="622">
        <f>SUM(J761:J772)</f>
        <v>103.4</v>
      </c>
      <c r="K760" s="622">
        <f>I760+J760</f>
        <v>561.1099999999999</v>
      </c>
      <c r="L760" s="622">
        <f>H760*I760</f>
        <v>457.70999999999992</v>
      </c>
      <c r="M760" s="622">
        <f>H760*J760</f>
        <v>103.4</v>
      </c>
      <c r="N760" s="622">
        <f>L760+M760</f>
        <v>561.1099999999999</v>
      </c>
      <c r="O760" s="622">
        <f>N760*$P$4</f>
        <v>137.80861599999997</v>
      </c>
      <c r="P760" s="622">
        <f>N760+O760</f>
        <v>698.91861599999993</v>
      </c>
    </row>
    <row r="761" spans="1:16" ht="48" x14ac:dyDescent="0.25">
      <c r="A761" s="611" t="s">
        <v>1108</v>
      </c>
      <c r="B761" s="611" t="s">
        <v>1578</v>
      </c>
      <c r="C761" s="611"/>
      <c r="D761" s="612" t="s">
        <v>1579</v>
      </c>
      <c r="E761" s="611" t="s">
        <v>251</v>
      </c>
      <c r="F761" s="613">
        <v>1</v>
      </c>
      <c r="G761" s="614">
        <v>171</v>
      </c>
      <c r="H761" s="613"/>
      <c r="I761" s="614">
        <f>ROUND(F761*G761,2)</f>
        <v>171</v>
      </c>
      <c r="J761" s="614"/>
      <c r="K761" s="614">
        <f t="shared" ref="K761:K772" si="158">I761+J761</f>
        <v>171</v>
      </c>
      <c r="L761" s="614"/>
      <c r="M761" s="614"/>
      <c r="N761" s="614"/>
      <c r="O761" s="614"/>
      <c r="P761" s="614"/>
    </row>
    <row r="762" spans="1:16" ht="24" x14ac:dyDescent="0.25">
      <c r="A762" s="611" t="s">
        <v>1108</v>
      </c>
      <c r="B762" s="611" t="s">
        <v>1580</v>
      </c>
      <c r="C762" s="611"/>
      <c r="D762" s="612" t="s">
        <v>1581</v>
      </c>
      <c r="E762" s="611" t="s">
        <v>251</v>
      </c>
      <c r="F762" s="613">
        <v>0.7</v>
      </c>
      <c r="G762" s="614">
        <v>14.45</v>
      </c>
      <c r="H762" s="613"/>
      <c r="I762" s="614">
        <f t="shared" ref="I762:I769" si="159">ROUND(F762*G762,2)</f>
        <v>10.119999999999999</v>
      </c>
      <c r="J762" s="614"/>
      <c r="K762" s="614">
        <f t="shared" si="158"/>
        <v>10.119999999999999</v>
      </c>
      <c r="L762" s="614"/>
      <c r="M762" s="614"/>
      <c r="N762" s="614"/>
      <c r="O762" s="614"/>
      <c r="P762" s="614"/>
    </row>
    <row r="763" spans="1:16" x14ac:dyDescent="0.25">
      <c r="A763" s="611" t="s">
        <v>277</v>
      </c>
      <c r="B763" s="611">
        <v>34623</v>
      </c>
      <c r="C763" s="611"/>
      <c r="D763" s="612" t="s">
        <v>1582</v>
      </c>
      <c r="E763" s="611" t="s">
        <v>251</v>
      </c>
      <c r="F763" s="613">
        <v>1</v>
      </c>
      <c r="G763" s="614">
        <v>35</v>
      </c>
      <c r="H763" s="613"/>
      <c r="I763" s="614">
        <f t="shared" si="159"/>
        <v>35</v>
      </c>
      <c r="J763" s="614"/>
      <c r="K763" s="614">
        <f t="shared" si="158"/>
        <v>35</v>
      </c>
      <c r="L763" s="614"/>
      <c r="M763" s="614"/>
      <c r="N763" s="614"/>
      <c r="O763" s="614"/>
      <c r="P763" s="614"/>
    </row>
    <row r="764" spans="1:16" x14ac:dyDescent="0.25">
      <c r="A764" s="611" t="s">
        <v>277</v>
      </c>
      <c r="B764" s="611">
        <v>34616</v>
      </c>
      <c r="C764" s="611"/>
      <c r="D764" s="612" t="s">
        <v>1583</v>
      </c>
      <c r="E764" s="611" t="s">
        <v>251</v>
      </c>
      <c r="F764" s="613">
        <v>1</v>
      </c>
      <c r="G764" s="614">
        <v>35.54</v>
      </c>
      <c r="H764" s="613"/>
      <c r="I764" s="614">
        <f t="shared" si="159"/>
        <v>35.54</v>
      </c>
      <c r="J764" s="614"/>
      <c r="K764" s="614">
        <f t="shared" si="158"/>
        <v>35.54</v>
      </c>
      <c r="L764" s="614"/>
      <c r="M764" s="614"/>
      <c r="N764" s="614"/>
      <c r="O764" s="614"/>
      <c r="P764" s="614"/>
    </row>
    <row r="765" spans="1:16" ht="24" x14ac:dyDescent="0.25">
      <c r="A765" s="611" t="s">
        <v>1108</v>
      </c>
      <c r="B765" s="611" t="s">
        <v>1562</v>
      </c>
      <c r="C765" s="611"/>
      <c r="D765" s="612" t="s">
        <v>1584</v>
      </c>
      <c r="E765" s="611" t="s">
        <v>251</v>
      </c>
      <c r="F765" s="613">
        <v>1</v>
      </c>
      <c r="G765" s="614">
        <v>60</v>
      </c>
      <c r="H765" s="613"/>
      <c r="I765" s="614">
        <f t="shared" si="159"/>
        <v>60</v>
      </c>
      <c r="J765" s="614"/>
      <c r="K765" s="614">
        <f t="shared" si="158"/>
        <v>60</v>
      </c>
      <c r="L765" s="614"/>
      <c r="M765" s="614"/>
      <c r="N765" s="614"/>
      <c r="O765" s="614"/>
      <c r="P765" s="614"/>
    </row>
    <row r="766" spans="1:16" ht="36" x14ac:dyDescent="0.25">
      <c r="A766" s="611" t="s">
        <v>1108</v>
      </c>
      <c r="B766" s="611" t="s">
        <v>1585</v>
      </c>
      <c r="C766" s="611"/>
      <c r="D766" s="612" t="s">
        <v>1586</v>
      </c>
      <c r="E766" s="611" t="s">
        <v>251</v>
      </c>
      <c r="F766" s="613">
        <v>1</v>
      </c>
      <c r="G766" s="614">
        <v>84</v>
      </c>
      <c r="H766" s="613"/>
      <c r="I766" s="614">
        <f t="shared" si="159"/>
        <v>84</v>
      </c>
      <c r="J766" s="614"/>
      <c r="K766" s="614">
        <f t="shared" si="158"/>
        <v>84</v>
      </c>
      <c r="L766" s="614"/>
      <c r="M766" s="614"/>
      <c r="N766" s="614"/>
      <c r="O766" s="614"/>
      <c r="P766" s="614"/>
    </row>
    <row r="767" spans="1:16" x14ac:dyDescent="0.25">
      <c r="A767" s="611" t="s">
        <v>1108</v>
      </c>
      <c r="B767" s="611" t="s">
        <v>1587</v>
      </c>
      <c r="C767" s="611"/>
      <c r="D767" s="612" t="s">
        <v>1588</v>
      </c>
      <c r="E767" s="611" t="s">
        <v>251</v>
      </c>
      <c r="F767" s="613">
        <v>1</v>
      </c>
      <c r="G767" s="614">
        <v>18.71</v>
      </c>
      <c r="H767" s="613"/>
      <c r="I767" s="614">
        <f t="shared" si="159"/>
        <v>18.71</v>
      </c>
      <c r="J767" s="614"/>
      <c r="K767" s="614">
        <f t="shared" si="158"/>
        <v>18.71</v>
      </c>
      <c r="L767" s="614"/>
      <c r="M767" s="614"/>
      <c r="N767" s="614"/>
      <c r="O767" s="614"/>
      <c r="P767" s="614"/>
    </row>
    <row r="768" spans="1:16" x14ac:dyDescent="0.25">
      <c r="A768" s="611" t="s">
        <v>1108</v>
      </c>
      <c r="B768" s="611" t="s">
        <v>1587</v>
      </c>
      <c r="C768" s="611"/>
      <c r="D768" s="612" t="s">
        <v>1589</v>
      </c>
      <c r="E768" s="611" t="s">
        <v>251</v>
      </c>
      <c r="F768" s="613">
        <v>1</v>
      </c>
      <c r="G768" s="614">
        <v>18.71</v>
      </c>
      <c r="H768" s="613"/>
      <c r="I768" s="614">
        <f t="shared" si="159"/>
        <v>18.71</v>
      </c>
      <c r="J768" s="614"/>
      <c r="K768" s="614">
        <f t="shared" si="158"/>
        <v>18.71</v>
      </c>
      <c r="L768" s="614"/>
      <c r="M768" s="614"/>
      <c r="N768" s="614"/>
      <c r="O768" s="614"/>
      <c r="P768" s="614"/>
    </row>
    <row r="769" spans="1:16" ht="24" x14ac:dyDescent="0.25">
      <c r="A769" s="611" t="s">
        <v>1108</v>
      </c>
      <c r="B769" s="611" t="s">
        <v>1590</v>
      </c>
      <c r="C769" s="611"/>
      <c r="D769" s="612" t="s">
        <v>1591</v>
      </c>
      <c r="E769" s="611" t="s">
        <v>251</v>
      </c>
      <c r="F769" s="613">
        <v>1</v>
      </c>
      <c r="G769" s="614">
        <v>4.63</v>
      </c>
      <c r="H769" s="613"/>
      <c r="I769" s="614">
        <f t="shared" si="159"/>
        <v>4.63</v>
      </c>
      <c r="J769" s="614"/>
      <c r="K769" s="614">
        <f t="shared" si="158"/>
        <v>4.63</v>
      </c>
      <c r="L769" s="614"/>
      <c r="M769" s="614"/>
      <c r="N769" s="614"/>
      <c r="O769" s="614"/>
      <c r="P769" s="614"/>
    </row>
    <row r="770" spans="1:16" x14ac:dyDescent="0.25">
      <c r="A770" s="611" t="s">
        <v>1200</v>
      </c>
      <c r="B770" s="611"/>
      <c r="C770" s="611"/>
      <c r="D770" s="612" t="s">
        <v>1564</v>
      </c>
      <c r="E770" s="611" t="s">
        <v>135</v>
      </c>
      <c r="F770" s="613">
        <v>1</v>
      </c>
      <c r="G770" s="614">
        <v>20</v>
      </c>
      <c r="H770" s="613"/>
      <c r="I770" s="614">
        <f>ROUND(F770*G770,2)</f>
        <v>20</v>
      </c>
      <c r="J770" s="614"/>
      <c r="K770" s="614">
        <f t="shared" si="158"/>
        <v>20</v>
      </c>
      <c r="L770" s="614"/>
      <c r="M770" s="614"/>
      <c r="N770" s="614"/>
      <c r="O770" s="614"/>
      <c r="P770" s="614"/>
    </row>
    <row r="771" spans="1:16" x14ac:dyDescent="0.25">
      <c r="A771" s="611" t="s">
        <v>277</v>
      </c>
      <c r="B771" s="611">
        <v>2439</v>
      </c>
      <c r="C771" s="611"/>
      <c r="D771" s="612" t="s">
        <v>878</v>
      </c>
      <c r="E771" s="611" t="s">
        <v>229</v>
      </c>
      <c r="F771" s="613">
        <v>4</v>
      </c>
      <c r="G771" s="614">
        <v>16.2</v>
      </c>
      <c r="H771" s="613"/>
      <c r="I771" s="614"/>
      <c r="J771" s="614">
        <f>ROUND(F771*G771,2)</f>
        <v>64.8</v>
      </c>
      <c r="K771" s="614">
        <f t="shared" si="158"/>
        <v>64.8</v>
      </c>
      <c r="L771" s="614"/>
      <c r="M771" s="614"/>
      <c r="N771" s="614"/>
      <c r="O771" s="614"/>
      <c r="P771" s="614"/>
    </row>
    <row r="772" spans="1:16" x14ac:dyDescent="0.25">
      <c r="A772" s="611" t="s">
        <v>277</v>
      </c>
      <c r="B772" s="611">
        <v>247</v>
      </c>
      <c r="C772" s="611"/>
      <c r="D772" s="612" t="s">
        <v>1070</v>
      </c>
      <c r="E772" s="611" t="s">
        <v>229</v>
      </c>
      <c r="F772" s="613">
        <v>4</v>
      </c>
      <c r="G772" s="614">
        <v>9.65</v>
      </c>
      <c r="H772" s="613"/>
      <c r="I772" s="614"/>
      <c r="J772" s="614">
        <f>ROUND(F772*G772,2)</f>
        <v>38.6</v>
      </c>
      <c r="K772" s="614">
        <f t="shared" si="158"/>
        <v>38.6</v>
      </c>
      <c r="L772" s="614"/>
      <c r="M772" s="614"/>
      <c r="N772" s="614"/>
      <c r="O772" s="614"/>
      <c r="P772" s="614"/>
    </row>
    <row r="773" spans="1:16" x14ac:dyDescent="0.25">
      <c r="A773" s="619"/>
      <c r="B773" s="619"/>
      <c r="C773" s="619" t="s">
        <v>1592</v>
      </c>
      <c r="D773" s="620" t="s">
        <v>1593</v>
      </c>
      <c r="E773" s="619" t="s">
        <v>251</v>
      </c>
      <c r="F773" s="621"/>
      <c r="G773" s="622"/>
      <c r="H773" s="621">
        <v>1</v>
      </c>
      <c r="I773" s="622">
        <f>SUM(I774:I779)</f>
        <v>502.02000000000004</v>
      </c>
      <c r="J773" s="622">
        <f>SUM(J774:J779)</f>
        <v>103.4</v>
      </c>
      <c r="K773" s="622">
        <f>I773+J773</f>
        <v>605.42000000000007</v>
      </c>
      <c r="L773" s="622">
        <f>H773*I773</f>
        <v>502.02000000000004</v>
      </c>
      <c r="M773" s="622">
        <f>H773*J773</f>
        <v>103.4</v>
      </c>
      <c r="N773" s="622">
        <f>L773+M773</f>
        <v>605.42000000000007</v>
      </c>
      <c r="O773" s="622">
        <f>N773*$P$4</f>
        <v>148.69115200000002</v>
      </c>
      <c r="P773" s="622">
        <f>N773+O773</f>
        <v>754.11115200000006</v>
      </c>
    </row>
    <row r="774" spans="1:16" ht="132" x14ac:dyDescent="0.25">
      <c r="A774" s="611" t="s">
        <v>278</v>
      </c>
      <c r="B774" s="611" t="s">
        <v>1594</v>
      </c>
      <c r="C774" s="611"/>
      <c r="D774" s="612" t="s">
        <v>1595</v>
      </c>
      <c r="E774" s="611" t="s">
        <v>251</v>
      </c>
      <c r="F774" s="613">
        <v>1</v>
      </c>
      <c r="G774" s="614">
        <v>276.64</v>
      </c>
      <c r="H774" s="613"/>
      <c r="I774" s="614">
        <f t="shared" ref="I774:I776" si="160">ROUND(F774*G774,2)</f>
        <v>276.64</v>
      </c>
      <c r="J774" s="614"/>
      <c r="K774" s="614">
        <f t="shared" ref="K774:K779" si="161">I774+J774</f>
        <v>276.64</v>
      </c>
      <c r="L774" s="614"/>
      <c r="M774" s="614"/>
      <c r="N774" s="614"/>
      <c r="O774" s="614"/>
      <c r="P774" s="614"/>
    </row>
    <row r="775" spans="1:16" x14ac:dyDescent="0.25">
      <c r="A775" s="611" t="s">
        <v>277</v>
      </c>
      <c r="B775" s="611">
        <v>34709</v>
      </c>
      <c r="C775" s="611"/>
      <c r="D775" s="612" t="s">
        <v>1596</v>
      </c>
      <c r="E775" s="611" t="s">
        <v>251</v>
      </c>
      <c r="F775" s="613">
        <v>1</v>
      </c>
      <c r="G775" s="614">
        <v>43.54</v>
      </c>
      <c r="H775" s="613"/>
      <c r="I775" s="614">
        <f t="shared" si="160"/>
        <v>43.54</v>
      </c>
      <c r="J775" s="614"/>
      <c r="K775" s="614">
        <f t="shared" si="161"/>
        <v>43.54</v>
      </c>
      <c r="L775" s="614"/>
      <c r="M775" s="614"/>
      <c r="N775" s="614"/>
      <c r="O775" s="614"/>
      <c r="P775" s="614"/>
    </row>
    <row r="776" spans="1:16" x14ac:dyDescent="0.25">
      <c r="A776" s="611" t="s">
        <v>277</v>
      </c>
      <c r="B776" s="611">
        <v>34653</v>
      </c>
      <c r="C776" s="611"/>
      <c r="D776" s="612" t="s">
        <v>1556</v>
      </c>
      <c r="E776" s="611" t="s">
        <v>251</v>
      </c>
      <c r="F776" s="613">
        <v>8</v>
      </c>
      <c r="G776" s="614">
        <v>6.2</v>
      </c>
      <c r="H776" s="613"/>
      <c r="I776" s="614">
        <f t="shared" si="160"/>
        <v>49.6</v>
      </c>
      <c r="J776" s="614"/>
      <c r="K776" s="614">
        <f t="shared" si="161"/>
        <v>49.6</v>
      </c>
      <c r="L776" s="614"/>
      <c r="M776" s="614"/>
      <c r="N776" s="614"/>
      <c r="O776" s="614"/>
      <c r="P776" s="614"/>
    </row>
    <row r="777" spans="1:16" ht="24" x14ac:dyDescent="0.25">
      <c r="A777" s="611" t="s">
        <v>1108</v>
      </c>
      <c r="B777" s="611" t="s">
        <v>1597</v>
      </c>
      <c r="C777" s="611"/>
      <c r="D777" s="612" t="s">
        <v>1598</v>
      </c>
      <c r="E777" s="611" t="s">
        <v>251</v>
      </c>
      <c r="F777" s="613">
        <v>8</v>
      </c>
      <c r="G777" s="614">
        <v>16.53</v>
      </c>
      <c r="H777" s="613"/>
      <c r="I777" s="614">
        <f>ROUND(F777*G777,2)</f>
        <v>132.24</v>
      </c>
      <c r="J777" s="614"/>
      <c r="K777" s="614">
        <f t="shared" si="161"/>
        <v>132.24</v>
      </c>
      <c r="L777" s="614"/>
      <c r="M777" s="614"/>
      <c r="N777" s="614"/>
      <c r="O777" s="614"/>
      <c r="P777" s="614"/>
    </row>
    <row r="778" spans="1:16" x14ac:dyDescent="0.25">
      <c r="A778" s="611" t="s">
        <v>277</v>
      </c>
      <c r="B778" s="611">
        <v>2439</v>
      </c>
      <c r="C778" s="611"/>
      <c r="D778" s="612" t="s">
        <v>878</v>
      </c>
      <c r="E778" s="611" t="s">
        <v>229</v>
      </c>
      <c r="F778" s="613">
        <v>4</v>
      </c>
      <c r="G778" s="614">
        <v>16.2</v>
      </c>
      <c r="H778" s="613"/>
      <c r="I778" s="614"/>
      <c r="J778" s="614">
        <f>ROUND(F778*G778,2)</f>
        <v>64.8</v>
      </c>
      <c r="K778" s="614">
        <f t="shared" si="161"/>
        <v>64.8</v>
      </c>
      <c r="L778" s="614"/>
      <c r="M778" s="614"/>
      <c r="N778" s="614"/>
      <c r="O778" s="614"/>
      <c r="P778" s="614"/>
    </row>
    <row r="779" spans="1:16" x14ac:dyDescent="0.25">
      <c r="A779" s="611" t="s">
        <v>277</v>
      </c>
      <c r="B779" s="611">
        <v>247</v>
      </c>
      <c r="C779" s="611"/>
      <c r="D779" s="612" t="s">
        <v>1070</v>
      </c>
      <c r="E779" s="611" t="s">
        <v>229</v>
      </c>
      <c r="F779" s="613">
        <v>4</v>
      </c>
      <c r="G779" s="614">
        <v>9.65</v>
      </c>
      <c r="H779" s="613"/>
      <c r="I779" s="614"/>
      <c r="J779" s="614">
        <f>ROUND(F779*G779,2)</f>
        <v>38.6</v>
      </c>
      <c r="K779" s="614">
        <f t="shared" si="161"/>
        <v>38.6</v>
      </c>
      <c r="L779" s="614"/>
      <c r="M779" s="614"/>
      <c r="N779" s="614"/>
      <c r="O779" s="614"/>
      <c r="P779" s="614"/>
    </row>
    <row r="780" spans="1:16" x14ac:dyDescent="0.25">
      <c r="A780" s="619"/>
      <c r="B780" s="619"/>
      <c r="C780" s="619" t="s">
        <v>1599</v>
      </c>
      <c r="D780" s="620" t="s">
        <v>1600</v>
      </c>
      <c r="E780" s="619" t="s">
        <v>251</v>
      </c>
      <c r="F780" s="621"/>
      <c r="G780" s="622"/>
      <c r="H780" s="621">
        <v>1</v>
      </c>
      <c r="I780" s="622">
        <f>SUM(I781:I788)</f>
        <v>901.79</v>
      </c>
      <c r="J780" s="622">
        <f t="shared" ref="J780" si="162">SUM(J781:J788)</f>
        <v>155.1</v>
      </c>
      <c r="K780" s="622">
        <f>I780+J780</f>
        <v>1056.8899999999999</v>
      </c>
      <c r="L780" s="622">
        <f>H780*I780</f>
        <v>901.79</v>
      </c>
      <c r="M780" s="622">
        <f>H780*J780</f>
        <v>155.1</v>
      </c>
      <c r="N780" s="622">
        <f>L780+M780</f>
        <v>1056.8899999999999</v>
      </c>
      <c r="O780" s="622">
        <f>N780*$P$4</f>
        <v>259.57218399999999</v>
      </c>
      <c r="P780" s="622">
        <f>N780+O780</f>
        <v>1316.462184</v>
      </c>
    </row>
    <row r="781" spans="1:16" ht="144" x14ac:dyDescent="0.25">
      <c r="A781" s="611" t="s">
        <v>278</v>
      </c>
      <c r="B781" s="611" t="s">
        <v>1567</v>
      </c>
      <c r="C781" s="611"/>
      <c r="D781" s="612" t="s">
        <v>1611</v>
      </c>
      <c r="E781" s="611" t="s">
        <v>251</v>
      </c>
      <c r="F781" s="613">
        <v>1</v>
      </c>
      <c r="G781" s="614">
        <v>488.89</v>
      </c>
      <c r="H781" s="613"/>
      <c r="I781" s="614">
        <f t="shared" ref="I781:I786" si="163">ROUND(F781*G781,2)</f>
        <v>488.89</v>
      </c>
      <c r="J781" s="614"/>
      <c r="K781" s="614">
        <f t="shared" ref="K781:K788" si="164">I781+J781</f>
        <v>488.89</v>
      </c>
      <c r="L781" s="614"/>
      <c r="M781" s="614"/>
      <c r="N781" s="614"/>
      <c r="O781" s="614"/>
      <c r="P781" s="614"/>
    </row>
    <row r="782" spans="1:16" x14ac:dyDescent="0.25">
      <c r="A782" s="611" t="s">
        <v>277</v>
      </c>
      <c r="B782" s="611">
        <v>2373</v>
      </c>
      <c r="C782" s="611"/>
      <c r="D782" s="612" t="s">
        <v>1559</v>
      </c>
      <c r="E782" s="611" t="s">
        <v>251</v>
      </c>
      <c r="F782" s="613">
        <v>1</v>
      </c>
      <c r="G782" s="614">
        <v>75.95</v>
      </c>
      <c r="H782" s="613"/>
      <c r="I782" s="614">
        <f t="shared" si="163"/>
        <v>75.95</v>
      </c>
      <c r="J782" s="614"/>
      <c r="K782" s="614">
        <f t="shared" si="164"/>
        <v>75.95</v>
      </c>
      <c r="L782" s="614"/>
      <c r="M782" s="614"/>
      <c r="N782" s="614"/>
      <c r="O782" s="614"/>
      <c r="P782" s="614"/>
    </row>
    <row r="783" spans="1:16" x14ac:dyDescent="0.25">
      <c r="A783" s="611" t="s">
        <v>277</v>
      </c>
      <c r="B783" s="611">
        <v>34714</v>
      </c>
      <c r="C783" s="611"/>
      <c r="D783" s="612" t="s">
        <v>1570</v>
      </c>
      <c r="E783" s="611" t="s">
        <v>251</v>
      </c>
      <c r="F783" s="613">
        <v>1</v>
      </c>
      <c r="G783" s="614">
        <v>52.01</v>
      </c>
      <c r="H783" s="613"/>
      <c r="I783" s="614">
        <f t="shared" si="163"/>
        <v>52.01</v>
      </c>
      <c r="J783" s="614"/>
      <c r="K783" s="614">
        <f t="shared" si="164"/>
        <v>52.01</v>
      </c>
      <c r="L783" s="614"/>
      <c r="M783" s="614"/>
      <c r="N783" s="614"/>
      <c r="O783" s="614"/>
      <c r="P783" s="614"/>
    </row>
    <row r="784" spans="1:16" x14ac:dyDescent="0.25">
      <c r="A784" s="611" t="s">
        <v>277</v>
      </c>
      <c r="B784" s="611">
        <v>34709</v>
      </c>
      <c r="C784" s="611"/>
      <c r="D784" s="612" t="s">
        <v>1596</v>
      </c>
      <c r="E784" s="611" t="s">
        <v>251</v>
      </c>
      <c r="F784" s="613">
        <v>1</v>
      </c>
      <c r="G784" s="614">
        <v>43.54</v>
      </c>
      <c r="H784" s="613"/>
      <c r="I784" s="614">
        <f t="shared" si="163"/>
        <v>43.54</v>
      </c>
      <c r="J784" s="614"/>
      <c r="K784" s="614">
        <f t="shared" si="164"/>
        <v>43.54</v>
      </c>
      <c r="L784" s="614"/>
      <c r="M784" s="614"/>
      <c r="N784" s="614"/>
      <c r="O784" s="614"/>
      <c r="P784" s="614"/>
    </row>
    <row r="785" spans="1:16" x14ac:dyDescent="0.25">
      <c r="A785" s="611" t="s">
        <v>1108</v>
      </c>
      <c r="B785" s="611" t="s">
        <v>1601</v>
      </c>
      <c r="C785" s="611"/>
      <c r="D785" s="612" t="s">
        <v>1602</v>
      </c>
      <c r="E785" s="611" t="s">
        <v>251</v>
      </c>
      <c r="F785" s="613">
        <v>1</v>
      </c>
      <c r="G785" s="614">
        <v>105</v>
      </c>
      <c r="H785" s="613"/>
      <c r="I785" s="614">
        <f t="shared" si="163"/>
        <v>105</v>
      </c>
      <c r="J785" s="614"/>
      <c r="K785" s="614">
        <f t="shared" si="164"/>
        <v>105</v>
      </c>
      <c r="L785" s="614"/>
      <c r="M785" s="614"/>
      <c r="N785" s="614"/>
      <c r="O785" s="614"/>
      <c r="P785" s="614"/>
    </row>
    <row r="786" spans="1:16" x14ac:dyDescent="0.25">
      <c r="A786" s="611" t="s">
        <v>277</v>
      </c>
      <c r="B786" s="611">
        <v>34653</v>
      </c>
      <c r="C786" s="611"/>
      <c r="D786" s="612" t="s">
        <v>1556</v>
      </c>
      <c r="E786" s="611" t="s">
        <v>251</v>
      </c>
      <c r="F786" s="613">
        <v>22</v>
      </c>
      <c r="G786" s="614">
        <v>6.2</v>
      </c>
      <c r="H786" s="613"/>
      <c r="I786" s="614">
        <f t="shared" si="163"/>
        <v>136.4</v>
      </c>
      <c r="J786" s="614"/>
      <c r="K786" s="614">
        <f t="shared" si="164"/>
        <v>136.4</v>
      </c>
      <c r="L786" s="614"/>
      <c r="M786" s="614"/>
      <c r="N786" s="614"/>
      <c r="O786" s="614"/>
      <c r="P786" s="614"/>
    </row>
    <row r="787" spans="1:16" x14ac:dyDescent="0.25">
      <c r="A787" s="611" t="s">
        <v>277</v>
      </c>
      <c r="B787" s="611">
        <v>2439</v>
      </c>
      <c r="C787" s="611"/>
      <c r="D787" s="612" t="s">
        <v>878</v>
      </c>
      <c r="E787" s="611" t="s">
        <v>229</v>
      </c>
      <c r="F787" s="613">
        <v>6</v>
      </c>
      <c r="G787" s="614">
        <v>16.2</v>
      </c>
      <c r="H787" s="613"/>
      <c r="I787" s="614"/>
      <c r="J787" s="614">
        <f>ROUND(F787*G787,2)</f>
        <v>97.2</v>
      </c>
      <c r="K787" s="614">
        <f t="shared" si="164"/>
        <v>97.2</v>
      </c>
      <c r="L787" s="614"/>
      <c r="M787" s="614"/>
      <c r="N787" s="614"/>
      <c r="O787" s="614"/>
      <c r="P787" s="614"/>
    </row>
    <row r="788" spans="1:16" x14ac:dyDescent="0.25">
      <c r="A788" s="611" t="s">
        <v>277</v>
      </c>
      <c r="B788" s="611">
        <v>247</v>
      </c>
      <c r="C788" s="611"/>
      <c r="D788" s="612" t="s">
        <v>1070</v>
      </c>
      <c r="E788" s="611" t="s">
        <v>229</v>
      </c>
      <c r="F788" s="613">
        <v>6</v>
      </c>
      <c r="G788" s="614">
        <v>9.65</v>
      </c>
      <c r="H788" s="613"/>
      <c r="I788" s="614"/>
      <c r="J788" s="614">
        <f>ROUND(F788*G788,2)</f>
        <v>57.9</v>
      </c>
      <c r="K788" s="614">
        <f t="shared" si="164"/>
        <v>57.9</v>
      </c>
      <c r="L788" s="614"/>
      <c r="M788" s="614"/>
      <c r="N788" s="614"/>
      <c r="O788" s="614"/>
      <c r="P788" s="614"/>
    </row>
    <row r="789" spans="1:16" x14ac:dyDescent="0.25">
      <c r="A789" s="619"/>
      <c r="B789" s="619"/>
      <c r="C789" s="619" t="s">
        <v>1603</v>
      </c>
      <c r="D789" s="620" t="s">
        <v>1604</v>
      </c>
      <c r="E789" s="619" t="s">
        <v>251</v>
      </c>
      <c r="F789" s="621"/>
      <c r="G789" s="622"/>
      <c r="H789" s="621">
        <v>3</v>
      </c>
      <c r="I789" s="622">
        <f>SUM(I790:I795)</f>
        <v>878.86</v>
      </c>
      <c r="J789" s="622">
        <f>SUM(J790:J795)</f>
        <v>103.4</v>
      </c>
      <c r="K789" s="622">
        <f>I789+J789</f>
        <v>982.26</v>
      </c>
      <c r="L789" s="622">
        <f>H789*I789</f>
        <v>2636.58</v>
      </c>
      <c r="M789" s="622">
        <f>H789*J789</f>
        <v>310.20000000000005</v>
      </c>
      <c r="N789" s="622">
        <f>L789+M789</f>
        <v>2946.7799999999997</v>
      </c>
      <c r="O789" s="622">
        <f>N789*$P$4</f>
        <v>723.72916799999996</v>
      </c>
      <c r="P789" s="622">
        <f>N789+O789</f>
        <v>3670.5091679999996</v>
      </c>
    </row>
    <row r="790" spans="1:16" ht="144" x14ac:dyDescent="0.25">
      <c r="A790" s="611" t="s">
        <v>278</v>
      </c>
      <c r="B790" s="611" t="s">
        <v>1567</v>
      </c>
      <c r="C790" s="611"/>
      <c r="D790" s="612" t="s">
        <v>1605</v>
      </c>
      <c r="E790" s="611" t="s">
        <v>251</v>
      </c>
      <c r="F790" s="613">
        <v>1</v>
      </c>
      <c r="G790" s="614">
        <v>488.89</v>
      </c>
      <c r="H790" s="613"/>
      <c r="I790" s="614">
        <f t="shared" ref="I790:I793" si="165">ROUND(F790*G790,2)</f>
        <v>488.89</v>
      </c>
      <c r="J790" s="614"/>
      <c r="K790" s="614">
        <f t="shared" ref="K790:K795" si="166">I790+J790</f>
        <v>488.89</v>
      </c>
      <c r="L790" s="614"/>
      <c r="M790" s="614"/>
      <c r="N790" s="614"/>
      <c r="O790" s="614"/>
      <c r="P790" s="614"/>
    </row>
    <row r="791" spans="1:16" x14ac:dyDescent="0.25">
      <c r="A791" s="611" t="s">
        <v>277</v>
      </c>
      <c r="B791" s="611">
        <v>2373</v>
      </c>
      <c r="C791" s="611"/>
      <c r="D791" s="612" t="s">
        <v>1606</v>
      </c>
      <c r="E791" s="611" t="s">
        <v>251</v>
      </c>
      <c r="F791" s="613">
        <v>1</v>
      </c>
      <c r="G791" s="614">
        <v>75.95</v>
      </c>
      <c r="H791" s="613"/>
      <c r="I791" s="614">
        <f t="shared" si="165"/>
        <v>75.95</v>
      </c>
      <c r="J791" s="614"/>
      <c r="K791" s="614">
        <f t="shared" si="166"/>
        <v>75.95</v>
      </c>
      <c r="L791" s="614"/>
      <c r="M791" s="614"/>
      <c r="N791" s="614"/>
      <c r="O791" s="614"/>
      <c r="P791" s="614"/>
    </row>
    <row r="792" spans="1:16" x14ac:dyDescent="0.25">
      <c r="A792" s="611" t="s">
        <v>277</v>
      </c>
      <c r="B792" s="611">
        <v>34714</v>
      </c>
      <c r="C792" s="611"/>
      <c r="D792" s="612" t="s">
        <v>1570</v>
      </c>
      <c r="E792" s="611" t="s">
        <v>251</v>
      </c>
      <c r="F792" s="613">
        <v>2</v>
      </c>
      <c r="G792" s="614">
        <v>52.01</v>
      </c>
      <c r="H792" s="613"/>
      <c r="I792" s="614">
        <f t="shared" si="165"/>
        <v>104.02</v>
      </c>
      <c r="J792" s="614"/>
      <c r="K792" s="614">
        <f t="shared" si="166"/>
        <v>104.02</v>
      </c>
      <c r="L792" s="614"/>
      <c r="M792" s="614"/>
      <c r="N792" s="614"/>
      <c r="O792" s="614"/>
      <c r="P792" s="614"/>
    </row>
    <row r="793" spans="1:16" x14ac:dyDescent="0.25">
      <c r="A793" s="611" t="s">
        <v>1108</v>
      </c>
      <c r="B793" s="611" t="s">
        <v>1601</v>
      </c>
      <c r="C793" s="611"/>
      <c r="D793" s="612" t="s">
        <v>1602</v>
      </c>
      <c r="E793" s="611" t="s">
        <v>251</v>
      </c>
      <c r="F793" s="613">
        <v>2</v>
      </c>
      <c r="G793" s="614">
        <v>105</v>
      </c>
      <c r="H793" s="613"/>
      <c r="I793" s="614">
        <f t="shared" si="165"/>
        <v>210</v>
      </c>
      <c r="J793" s="614"/>
      <c r="K793" s="614">
        <f t="shared" si="166"/>
        <v>210</v>
      </c>
      <c r="L793" s="614"/>
      <c r="M793" s="614"/>
      <c r="N793" s="614"/>
      <c r="O793" s="614"/>
      <c r="P793" s="614"/>
    </row>
    <row r="794" spans="1:16" x14ac:dyDescent="0.25">
      <c r="A794" s="611" t="s">
        <v>277</v>
      </c>
      <c r="B794" s="611">
        <v>2439</v>
      </c>
      <c r="C794" s="611"/>
      <c r="D794" s="612" t="s">
        <v>878</v>
      </c>
      <c r="E794" s="611" t="s">
        <v>229</v>
      </c>
      <c r="F794" s="613">
        <v>4</v>
      </c>
      <c r="G794" s="614">
        <v>16.2</v>
      </c>
      <c r="H794" s="613"/>
      <c r="I794" s="614"/>
      <c r="J794" s="614">
        <f>ROUND(F794*G794,2)</f>
        <v>64.8</v>
      </c>
      <c r="K794" s="614">
        <f t="shared" si="166"/>
        <v>64.8</v>
      </c>
      <c r="L794" s="614"/>
      <c r="M794" s="614"/>
      <c r="N794" s="614"/>
      <c r="O794" s="614"/>
      <c r="P794" s="614"/>
    </row>
    <row r="795" spans="1:16" x14ac:dyDescent="0.25">
      <c r="A795" s="611" t="s">
        <v>277</v>
      </c>
      <c r="B795" s="611">
        <v>247</v>
      </c>
      <c r="C795" s="611"/>
      <c r="D795" s="612" t="s">
        <v>1070</v>
      </c>
      <c r="E795" s="611" t="s">
        <v>229</v>
      </c>
      <c r="F795" s="613">
        <v>4</v>
      </c>
      <c r="G795" s="614">
        <v>9.65</v>
      </c>
      <c r="H795" s="613"/>
      <c r="I795" s="614"/>
      <c r="J795" s="614">
        <f>ROUND(F795*G795,2)</f>
        <v>38.6</v>
      </c>
      <c r="K795" s="614">
        <f t="shared" si="166"/>
        <v>38.6</v>
      </c>
      <c r="L795" s="614"/>
      <c r="M795" s="614"/>
      <c r="N795" s="614"/>
      <c r="O795" s="614"/>
      <c r="P795" s="614"/>
    </row>
    <row r="796" spans="1:16" x14ac:dyDescent="0.25">
      <c r="A796" s="619"/>
      <c r="B796" s="619"/>
      <c r="C796" s="619" t="s">
        <v>1607</v>
      </c>
      <c r="D796" s="620" t="s">
        <v>1608</v>
      </c>
      <c r="E796" s="619" t="s">
        <v>251</v>
      </c>
      <c r="F796" s="621"/>
      <c r="G796" s="622"/>
      <c r="H796" s="621">
        <v>1</v>
      </c>
      <c r="I796" s="622">
        <f>SUM(I797:I801)</f>
        <v>369.78000000000003</v>
      </c>
      <c r="J796" s="622">
        <f>SUM(J797:J801)</f>
        <v>77.55</v>
      </c>
      <c r="K796" s="622">
        <f>I796+J796</f>
        <v>447.33000000000004</v>
      </c>
      <c r="L796" s="622">
        <f>H796*I796</f>
        <v>369.78000000000003</v>
      </c>
      <c r="M796" s="622">
        <f>H796*J796</f>
        <v>77.55</v>
      </c>
      <c r="N796" s="622">
        <f>L796+M796</f>
        <v>447.33000000000004</v>
      </c>
      <c r="O796" s="622">
        <f>N796*$P$4</f>
        <v>109.86424800000002</v>
      </c>
      <c r="P796" s="622">
        <f>N796+O796</f>
        <v>557.19424800000002</v>
      </c>
    </row>
    <row r="797" spans="1:16" ht="132" x14ac:dyDescent="0.25">
      <c r="A797" s="611" t="s">
        <v>278</v>
      </c>
      <c r="B797" s="611" t="s">
        <v>1594</v>
      </c>
      <c r="C797" s="611"/>
      <c r="D797" s="612" t="s">
        <v>1595</v>
      </c>
      <c r="E797" s="611" t="s">
        <v>251</v>
      </c>
      <c r="F797" s="613">
        <v>1</v>
      </c>
      <c r="G797" s="614">
        <v>276.64</v>
      </c>
      <c r="H797" s="613"/>
      <c r="I797" s="614">
        <f t="shared" ref="I797:I799" si="167">ROUND(F797*G797,2)</f>
        <v>276.64</v>
      </c>
      <c r="J797" s="614"/>
      <c r="K797" s="614">
        <f t="shared" ref="K797:K801" si="168">I797+J797</f>
        <v>276.64</v>
      </c>
      <c r="L797" s="614"/>
      <c r="M797" s="614"/>
      <c r="N797" s="614"/>
      <c r="O797" s="614"/>
      <c r="P797" s="614"/>
    </row>
    <row r="798" spans="1:16" x14ac:dyDescent="0.25">
      <c r="A798" s="611" t="s">
        <v>277</v>
      </c>
      <c r="B798" s="611">
        <v>34709</v>
      </c>
      <c r="C798" s="611"/>
      <c r="D798" s="612" t="s">
        <v>1569</v>
      </c>
      <c r="E798" s="611" t="s">
        <v>251</v>
      </c>
      <c r="F798" s="613">
        <v>1</v>
      </c>
      <c r="G798" s="614">
        <v>43.54</v>
      </c>
      <c r="H798" s="613"/>
      <c r="I798" s="614">
        <f t="shared" si="167"/>
        <v>43.54</v>
      </c>
      <c r="J798" s="614"/>
      <c r="K798" s="614">
        <f t="shared" si="168"/>
        <v>43.54</v>
      </c>
      <c r="L798" s="614"/>
      <c r="M798" s="614"/>
      <c r="N798" s="614"/>
      <c r="O798" s="614"/>
      <c r="P798" s="614"/>
    </row>
    <row r="799" spans="1:16" x14ac:dyDescent="0.25">
      <c r="A799" s="611" t="s">
        <v>277</v>
      </c>
      <c r="B799" s="611">
        <v>34653</v>
      </c>
      <c r="C799" s="611"/>
      <c r="D799" s="612" t="s">
        <v>1556</v>
      </c>
      <c r="E799" s="611" t="s">
        <v>251</v>
      </c>
      <c r="F799" s="613">
        <v>8</v>
      </c>
      <c r="G799" s="614">
        <v>6.2</v>
      </c>
      <c r="H799" s="613"/>
      <c r="I799" s="614">
        <f t="shared" si="167"/>
        <v>49.6</v>
      </c>
      <c r="J799" s="614"/>
      <c r="K799" s="614">
        <f t="shared" si="168"/>
        <v>49.6</v>
      </c>
      <c r="L799" s="614"/>
      <c r="M799" s="614"/>
      <c r="N799" s="614"/>
      <c r="O799" s="614"/>
      <c r="P799" s="614"/>
    </row>
    <row r="800" spans="1:16" x14ac:dyDescent="0.25">
      <c r="A800" s="611" t="s">
        <v>277</v>
      </c>
      <c r="B800" s="611">
        <v>2439</v>
      </c>
      <c r="C800" s="611"/>
      <c r="D800" s="612" t="s">
        <v>878</v>
      </c>
      <c r="E800" s="611" t="s">
        <v>229</v>
      </c>
      <c r="F800" s="613">
        <v>3</v>
      </c>
      <c r="G800" s="614">
        <v>16.2</v>
      </c>
      <c r="H800" s="613"/>
      <c r="I800" s="614"/>
      <c r="J800" s="614">
        <f>ROUND(F800*G800,2)</f>
        <v>48.6</v>
      </c>
      <c r="K800" s="614">
        <f t="shared" si="168"/>
        <v>48.6</v>
      </c>
      <c r="L800" s="614"/>
      <c r="M800" s="614"/>
      <c r="N800" s="614"/>
      <c r="O800" s="614"/>
      <c r="P800" s="614"/>
    </row>
    <row r="801" spans="1:16" x14ac:dyDescent="0.25">
      <c r="A801" s="611" t="s">
        <v>277</v>
      </c>
      <c r="B801" s="611">
        <v>247</v>
      </c>
      <c r="C801" s="611"/>
      <c r="D801" s="612" t="s">
        <v>1070</v>
      </c>
      <c r="E801" s="611" t="s">
        <v>229</v>
      </c>
      <c r="F801" s="613">
        <v>3</v>
      </c>
      <c r="G801" s="614">
        <v>9.65</v>
      </c>
      <c r="H801" s="613"/>
      <c r="I801" s="614"/>
      <c r="J801" s="614">
        <f>ROUND(F801*G801,2)</f>
        <v>28.95</v>
      </c>
      <c r="K801" s="614">
        <f t="shared" si="168"/>
        <v>28.95</v>
      </c>
      <c r="L801" s="614"/>
      <c r="M801" s="614"/>
      <c r="N801" s="614"/>
      <c r="O801" s="614"/>
      <c r="P801" s="614"/>
    </row>
    <row r="802" spans="1:16" x14ac:dyDescent="0.25">
      <c r="A802" s="619"/>
      <c r="B802" s="619"/>
      <c r="C802" s="619" t="s">
        <v>1609</v>
      </c>
      <c r="D802" s="620" t="s">
        <v>1610</v>
      </c>
      <c r="E802" s="619" t="s">
        <v>251</v>
      </c>
      <c r="F802" s="621"/>
      <c r="G802" s="622"/>
      <c r="H802" s="621">
        <v>2</v>
      </c>
      <c r="I802" s="622">
        <f>SUM(I803:I809)</f>
        <v>1009.06</v>
      </c>
      <c r="J802" s="622">
        <f>SUM(J803:J809)</f>
        <v>155.1</v>
      </c>
      <c r="K802" s="622">
        <f>I802+J802</f>
        <v>1164.1599999999999</v>
      </c>
      <c r="L802" s="622">
        <f>H802*I802</f>
        <v>2018.12</v>
      </c>
      <c r="M802" s="622">
        <f>H802*J802</f>
        <v>310.2</v>
      </c>
      <c r="N802" s="622">
        <f>L802+M802</f>
        <v>2328.3199999999997</v>
      </c>
      <c r="O802" s="622">
        <f>N802*$P$4</f>
        <v>571.83539199999996</v>
      </c>
      <c r="P802" s="622">
        <f>N802+O802</f>
        <v>2900.1553919999997</v>
      </c>
    </row>
    <row r="803" spans="1:16" ht="144" x14ac:dyDescent="0.25">
      <c r="A803" s="611" t="s">
        <v>278</v>
      </c>
      <c r="B803" s="611" t="s">
        <v>1567</v>
      </c>
      <c r="C803" s="611"/>
      <c r="D803" s="612" t="s">
        <v>1611</v>
      </c>
      <c r="E803" s="611" t="s">
        <v>251</v>
      </c>
      <c r="F803" s="613">
        <v>1</v>
      </c>
      <c r="G803" s="614">
        <v>488.89</v>
      </c>
      <c r="H803" s="613"/>
      <c r="I803" s="614">
        <f t="shared" ref="I803:I807" si="169">ROUND(F803*G803,2)</f>
        <v>488.89</v>
      </c>
      <c r="J803" s="614"/>
      <c r="K803" s="614">
        <f t="shared" ref="K803:K809" si="170">I803+J803</f>
        <v>488.89</v>
      </c>
      <c r="L803" s="614"/>
      <c r="M803" s="614"/>
      <c r="N803" s="614"/>
      <c r="O803" s="614"/>
      <c r="P803" s="614"/>
    </row>
    <row r="804" spans="1:16" x14ac:dyDescent="0.25">
      <c r="A804" s="611" t="s">
        <v>277</v>
      </c>
      <c r="B804" s="611">
        <v>2373</v>
      </c>
      <c r="C804" s="611"/>
      <c r="D804" s="612" t="s">
        <v>1606</v>
      </c>
      <c r="E804" s="611" t="s">
        <v>251</v>
      </c>
      <c r="F804" s="613">
        <v>1</v>
      </c>
      <c r="G804" s="614">
        <v>75.95</v>
      </c>
      <c r="H804" s="613"/>
      <c r="I804" s="614">
        <f t="shared" si="169"/>
        <v>75.95</v>
      </c>
      <c r="J804" s="614"/>
      <c r="K804" s="614">
        <f t="shared" si="170"/>
        <v>75.95</v>
      </c>
      <c r="L804" s="614"/>
      <c r="M804" s="614"/>
      <c r="N804" s="614"/>
      <c r="O804" s="614"/>
      <c r="P804" s="614"/>
    </row>
    <row r="805" spans="1:16" x14ac:dyDescent="0.25">
      <c r="A805" s="611" t="s">
        <v>277</v>
      </c>
      <c r="B805" s="611">
        <v>34714</v>
      </c>
      <c r="C805" s="611"/>
      <c r="D805" s="612" t="s">
        <v>1570</v>
      </c>
      <c r="E805" s="611" t="s">
        <v>251</v>
      </c>
      <c r="F805" s="613">
        <v>2</v>
      </c>
      <c r="G805" s="614">
        <v>52.01</v>
      </c>
      <c r="H805" s="613"/>
      <c r="I805" s="614">
        <f t="shared" si="169"/>
        <v>104.02</v>
      </c>
      <c r="J805" s="614"/>
      <c r="K805" s="614">
        <f t="shared" si="170"/>
        <v>104.02</v>
      </c>
      <c r="L805" s="614"/>
      <c r="M805" s="614"/>
      <c r="N805" s="614"/>
      <c r="O805" s="614"/>
      <c r="P805" s="614"/>
    </row>
    <row r="806" spans="1:16" x14ac:dyDescent="0.25">
      <c r="A806" s="611" t="s">
        <v>1108</v>
      </c>
      <c r="B806" s="611" t="s">
        <v>1601</v>
      </c>
      <c r="C806" s="611"/>
      <c r="D806" s="612" t="s">
        <v>1602</v>
      </c>
      <c r="E806" s="611" t="s">
        <v>251</v>
      </c>
      <c r="F806" s="613">
        <v>2</v>
      </c>
      <c r="G806" s="614">
        <v>105</v>
      </c>
      <c r="H806" s="613"/>
      <c r="I806" s="614">
        <f t="shared" si="169"/>
        <v>210</v>
      </c>
      <c r="J806" s="614"/>
      <c r="K806" s="614">
        <f t="shared" si="170"/>
        <v>210</v>
      </c>
      <c r="L806" s="614"/>
      <c r="M806" s="614"/>
      <c r="N806" s="614"/>
      <c r="O806" s="614"/>
      <c r="P806" s="614"/>
    </row>
    <row r="807" spans="1:16" x14ac:dyDescent="0.25">
      <c r="A807" s="611" t="s">
        <v>277</v>
      </c>
      <c r="B807" s="611">
        <v>34653</v>
      </c>
      <c r="C807" s="611"/>
      <c r="D807" s="612" t="s">
        <v>1556</v>
      </c>
      <c r="E807" s="611" t="s">
        <v>251</v>
      </c>
      <c r="F807" s="613">
        <v>21</v>
      </c>
      <c r="G807" s="614">
        <v>6.2</v>
      </c>
      <c r="H807" s="613"/>
      <c r="I807" s="614">
        <f t="shared" si="169"/>
        <v>130.19999999999999</v>
      </c>
      <c r="J807" s="614"/>
      <c r="K807" s="614">
        <f t="shared" si="170"/>
        <v>130.19999999999999</v>
      </c>
      <c r="L807" s="614"/>
      <c r="M807" s="614"/>
      <c r="N807" s="614"/>
      <c r="O807" s="614"/>
      <c r="P807" s="614"/>
    </row>
    <row r="808" spans="1:16" x14ac:dyDescent="0.25">
      <c r="A808" s="611" t="s">
        <v>277</v>
      </c>
      <c r="B808" s="611">
        <v>2439</v>
      </c>
      <c r="C808" s="611"/>
      <c r="D808" s="612" t="s">
        <v>878</v>
      </c>
      <c r="E808" s="611" t="s">
        <v>229</v>
      </c>
      <c r="F808" s="613">
        <v>6</v>
      </c>
      <c r="G808" s="614">
        <v>16.2</v>
      </c>
      <c r="H808" s="613"/>
      <c r="I808" s="614"/>
      <c r="J808" s="614">
        <f>ROUND(F808*G808,2)</f>
        <v>97.2</v>
      </c>
      <c r="K808" s="614">
        <f t="shared" si="170"/>
        <v>97.2</v>
      </c>
      <c r="L808" s="614"/>
      <c r="M808" s="614"/>
      <c r="N808" s="614"/>
      <c r="O808" s="614"/>
      <c r="P808" s="614"/>
    </row>
    <row r="809" spans="1:16" x14ac:dyDescent="0.25">
      <c r="A809" s="611" t="s">
        <v>277</v>
      </c>
      <c r="B809" s="611">
        <v>247</v>
      </c>
      <c r="C809" s="611"/>
      <c r="D809" s="612" t="s">
        <v>1070</v>
      </c>
      <c r="E809" s="611" t="s">
        <v>229</v>
      </c>
      <c r="F809" s="613">
        <v>6</v>
      </c>
      <c r="G809" s="614">
        <v>9.65</v>
      </c>
      <c r="H809" s="613"/>
      <c r="I809" s="614"/>
      <c r="J809" s="614">
        <f>ROUND(F809*G809,2)</f>
        <v>57.9</v>
      </c>
      <c r="K809" s="614">
        <f t="shared" si="170"/>
        <v>57.9</v>
      </c>
      <c r="L809" s="614"/>
      <c r="M809" s="614"/>
      <c r="N809" s="614"/>
      <c r="O809" s="614"/>
      <c r="P809" s="614"/>
    </row>
    <row r="810" spans="1:16" x14ac:dyDescent="0.25">
      <c r="A810" s="619"/>
      <c r="B810" s="619"/>
      <c r="C810" s="619" t="s">
        <v>1612</v>
      </c>
      <c r="D810" s="620" t="s">
        <v>1613</v>
      </c>
      <c r="E810" s="619" t="s">
        <v>251</v>
      </c>
      <c r="F810" s="621"/>
      <c r="G810" s="622"/>
      <c r="H810" s="621">
        <v>2</v>
      </c>
      <c r="I810" s="622">
        <f>SUM(I811:I815)</f>
        <v>363.58</v>
      </c>
      <c r="J810" s="622">
        <f>SUM(J811:J815)</f>
        <v>77.55</v>
      </c>
      <c r="K810" s="622">
        <f>I810+J810</f>
        <v>441.13</v>
      </c>
      <c r="L810" s="622">
        <f>H810*I810</f>
        <v>727.16</v>
      </c>
      <c r="M810" s="622">
        <f>H810*J810</f>
        <v>155.1</v>
      </c>
      <c r="N810" s="622">
        <f>L810+M810</f>
        <v>882.26</v>
      </c>
      <c r="O810" s="622">
        <f>N810*$P$4</f>
        <v>216.68305600000002</v>
      </c>
      <c r="P810" s="622">
        <f>N810+O810</f>
        <v>1098.9430560000001</v>
      </c>
    </row>
    <row r="811" spans="1:16" ht="132" x14ac:dyDescent="0.25">
      <c r="A811" s="611" t="s">
        <v>278</v>
      </c>
      <c r="B811" s="611" t="s">
        <v>1594</v>
      </c>
      <c r="C811" s="611"/>
      <c r="D811" s="612" t="s">
        <v>1614</v>
      </c>
      <c r="E811" s="611" t="s">
        <v>251</v>
      </c>
      <c r="F811" s="613">
        <v>1</v>
      </c>
      <c r="G811" s="614">
        <v>276.64</v>
      </c>
      <c r="H811" s="613"/>
      <c r="I811" s="614">
        <f t="shared" ref="I811:I813" si="171">ROUND(F811*G811,2)</f>
        <v>276.64</v>
      </c>
      <c r="J811" s="614"/>
      <c r="K811" s="614">
        <f t="shared" ref="K811:K815" si="172">I811+J811</f>
        <v>276.64</v>
      </c>
      <c r="L811" s="614"/>
      <c r="M811" s="614"/>
      <c r="N811" s="614"/>
      <c r="O811" s="614"/>
      <c r="P811" s="614"/>
    </row>
    <row r="812" spans="1:16" x14ac:dyDescent="0.25">
      <c r="A812" s="611" t="s">
        <v>277</v>
      </c>
      <c r="B812" s="611">
        <v>34709</v>
      </c>
      <c r="C812" s="611"/>
      <c r="D812" s="612" t="s">
        <v>1569</v>
      </c>
      <c r="E812" s="611" t="s">
        <v>251</v>
      </c>
      <c r="F812" s="613">
        <v>1</v>
      </c>
      <c r="G812" s="614">
        <v>43.54</v>
      </c>
      <c r="H812" s="613"/>
      <c r="I812" s="614">
        <f t="shared" si="171"/>
        <v>43.54</v>
      </c>
      <c r="J812" s="614"/>
      <c r="K812" s="614">
        <f t="shared" si="172"/>
        <v>43.54</v>
      </c>
      <c r="L812" s="614"/>
      <c r="M812" s="614"/>
      <c r="N812" s="614"/>
      <c r="O812" s="614"/>
      <c r="P812" s="614"/>
    </row>
    <row r="813" spans="1:16" x14ac:dyDescent="0.25">
      <c r="A813" s="611" t="s">
        <v>277</v>
      </c>
      <c r="B813" s="611">
        <v>34653</v>
      </c>
      <c r="C813" s="611"/>
      <c r="D813" s="612" t="s">
        <v>1556</v>
      </c>
      <c r="E813" s="611" t="s">
        <v>251</v>
      </c>
      <c r="F813" s="613">
        <v>7</v>
      </c>
      <c r="G813" s="614">
        <v>6.2</v>
      </c>
      <c r="H813" s="613"/>
      <c r="I813" s="614">
        <f t="shared" si="171"/>
        <v>43.4</v>
      </c>
      <c r="J813" s="614"/>
      <c r="K813" s="614">
        <f t="shared" si="172"/>
        <v>43.4</v>
      </c>
      <c r="L813" s="614"/>
      <c r="M813" s="614"/>
      <c r="N813" s="614"/>
      <c r="O813" s="614"/>
      <c r="P813" s="614"/>
    </row>
    <row r="814" spans="1:16" x14ac:dyDescent="0.25">
      <c r="A814" s="611" t="s">
        <v>277</v>
      </c>
      <c r="B814" s="611">
        <v>2439</v>
      </c>
      <c r="C814" s="611"/>
      <c r="D814" s="612" t="s">
        <v>878</v>
      </c>
      <c r="E814" s="611" t="s">
        <v>229</v>
      </c>
      <c r="F814" s="613">
        <v>3</v>
      </c>
      <c r="G814" s="614">
        <v>16.2</v>
      </c>
      <c r="H814" s="613"/>
      <c r="I814" s="614"/>
      <c r="J814" s="614">
        <f>ROUND(F814*G814,2)</f>
        <v>48.6</v>
      </c>
      <c r="K814" s="614">
        <f t="shared" si="172"/>
        <v>48.6</v>
      </c>
      <c r="L814" s="614"/>
      <c r="M814" s="614"/>
      <c r="N814" s="614"/>
      <c r="O814" s="614"/>
      <c r="P814" s="614"/>
    </row>
    <row r="815" spans="1:16" x14ac:dyDescent="0.25">
      <c r="A815" s="611" t="s">
        <v>277</v>
      </c>
      <c r="B815" s="611">
        <v>247</v>
      </c>
      <c r="C815" s="611"/>
      <c r="D815" s="612" t="s">
        <v>1070</v>
      </c>
      <c r="E815" s="611" t="s">
        <v>229</v>
      </c>
      <c r="F815" s="613">
        <v>3</v>
      </c>
      <c r="G815" s="614">
        <v>9.65</v>
      </c>
      <c r="H815" s="613"/>
      <c r="I815" s="614"/>
      <c r="J815" s="614">
        <f>ROUND(F815*G815,2)</f>
        <v>28.95</v>
      </c>
      <c r="K815" s="614">
        <f t="shared" si="172"/>
        <v>28.95</v>
      </c>
      <c r="L815" s="614"/>
      <c r="M815" s="614"/>
      <c r="N815" s="614"/>
      <c r="O815" s="614"/>
      <c r="P815" s="614"/>
    </row>
    <row r="816" spans="1:16" x14ac:dyDescent="0.25">
      <c r="A816" s="619"/>
      <c r="B816" s="619"/>
      <c r="C816" s="619" t="s">
        <v>1615</v>
      </c>
      <c r="D816" s="620" t="s">
        <v>1616</v>
      </c>
      <c r="E816" s="619"/>
      <c r="F816" s="621"/>
      <c r="G816" s="622"/>
      <c r="H816" s="621">
        <v>1</v>
      </c>
      <c r="I816" s="622">
        <f>SUM(I817:I819)</f>
        <v>3564</v>
      </c>
      <c r="J816" s="622">
        <f>SUM(J817:J819)</f>
        <v>206.8</v>
      </c>
      <c r="K816" s="622">
        <f>I816+J816</f>
        <v>3770.8</v>
      </c>
      <c r="L816" s="622">
        <f>H816*I816</f>
        <v>3564</v>
      </c>
      <c r="M816" s="622">
        <f>H816*J816</f>
        <v>206.8</v>
      </c>
      <c r="N816" s="622">
        <f>L816+M816</f>
        <v>3770.8</v>
      </c>
      <c r="O816" s="622">
        <f>N816*$P$4</f>
        <v>926.1084800000001</v>
      </c>
      <c r="P816" s="622">
        <f>N816+O816</f>
        <v>4696.9084800000001</v>
      </c>
    </row>
    <row r="817" spans="1:16" ht="36" x14ac:dyDescent="0.25">
      <c r="A817" s="611" t="s">
        <v>1108</v>
      </c>
      <c r="B817" s="611" t="s">
        <v>1617</v>
      </c>
      <c r="C817" s="611"/>
      <c r="D817" s="612" t="s">
        <v>1618</v>
      </c>
      <c r="E817" s="611" t="s">
        <v>251</v>
      </c>
      <c r="F817" s="613">
        <v>1</v>
      </c>
      <c r="G817" s="614">
        <v>3564</v>
      </c>
      <c r="H817" s="613"/>
      <c r="I817" s="614">
        <f t="shared" ref="I817" si="173">ROUND(F817*G817,2)</f>
        <v>3564</v>
      </c>
      <c r="J817" s="614"/>
      <c r="K817" s="614">
        <f t="shared" ref="K817:K819" si="174">I817+J817</f>
        <v>3564</v>
      </c>
      <c r="L817" s="614"/>
      <c r="M817" s="614"/>
      <c r="N817" s="614"/>
      <c r="O817" s="614"/>
      <c r="P817" s="614"/>
    </row>
    <row r="818" spans="1:16" x14ac:dyDescent="0.25">
      <c r="A818" s="611" t="s">
        <v>277</v>
      </c>
      <c r="B818" s="611">
        <v>2439</v>
      </c>
      <c r="C818" s="611"/>
      <c r="D818" s="612" t="s">
        <v>878</v>
      </c>
      <c r="E818" s="611" t="s">
        <v>229</v>
      </c>
      <c r="F818" s="613">
        <v>8</v>
      </c>
      <c r="G818" s="614">
        <v>16.2</v>
      </c>
      <c r="H818" s="613"/>
      <c r="I818" s="614"/>
      <c r="J818" s="614">
        <f>ROUND(F818*G818,2)</f>
        <v>129.6</v>
      </c>
      <c r="K818" s="614">
        <f t="shared" si="174"/>
        <v>129.6</v>
      </c>
      <c r="L818" s="614"/>
      <c r="M818" s="614"/>
      <c r="N818" s="614"/>
      <c r="O818" s="614"/>
      <c r="P818" s="614"/>
    </row>
    <row r="819" spans="1:16" x14ac:dyDescent="0.25">
      <c r="A819" s="611" t="s">
        <v>277</v>
      </c>
      <c r="B819" s="611">
        <v>247</v>
      </c>
      <c r="C819" s="611"/>
      <c r="D819" s="612" t="s">
        <v>1070</v>
      </c>
      <c r="E819" s="611" t="s">
        <v>229</v>
      </c>
      <c r="F819" s="613">
        <v>8</v>
      </c>
      <c r="G819" s="614">
        <v>9.65</v>
      </c>
      <c r="H819" s="613"/>
      <c r="I819" s="614"/>
      <c r="J819" s="614">
        <f>ROUND(F819*G819,2)</f>
        <v>77.2</v>
      </c>
      <c r="K819" s="614">
        <f t="shared" si="174"/>
        <v>77.2</v>
      </c>
      <c r="L819" s="614"/>
      <c r="M819" s="614"/>
      <c r="N819" s="614"/>
      <c r="O819" s="614"/>
      <c r="P819" s="614"/>
    </row>
    <row r="820" spans="1:16" x14ac:dyDescent="0.25">
      <c r="A820" s="611"/>
      <c r="B820" s="611"/>
      <c r="C820" s="611"/>
      <c r="D820" s="612"/>
      <c r="E820" s="611"/>
      <c r="F820" s="613"/>
      <c r="G820" s="614"/>
      <c r="H820" s="613"/>
      <c r="I820" s="614"/>
      <c r="J820" s="614"/>
      <c r="K820" s="614"/>
      <c r="L820" s="614"/>
      <c r="M820" s="614"/>
      <c r="N820" s="614"/>
      <c r="O820" s="614"/>
      <c r="P820" s="614"/>
    </row>
    <row r="821" spans="1:16" s="618" customFormat="1" x14ac:dyDescent="0.25">
      <c r="A821" s="615"/>
      <c r="B821" s="615"/>
      <c r="C821" s="615">
        <v>20</v>
      </c>
      <c r="D821" s="616" t="s">
        <v>1823</v>
      </c>
      <c r="E821" s="615"/>
      <c r="F821" s="616"/>
      <c r="G821" s="617"/>
      <c r="H821" s="616"/>
      <c r="I821" s="617"/>
      <c r="J821" s="617"/>
      <c r="K821" s="617"/>
      <c r="L821" s="617">
        <f>SUM(L822:L889)</f>
        <v>3986.5499999999993</v>
      </c>
      <c r="M821" s="617">
        <f>SUM(M822:M889)</f>
        <v>4519.0400000000009</v>
      </c>
      <c r="N821" s="617">
        <f>SUM(N822:N889)</f>
        <v>8505.5899999999983</v>
      </c>
      <c r="O821" s="617">
        <f>SUM(O822:O889)</f>
        <v>2088.9729040000002</v>
      </c>
      <c r="P821" s="617">
        <f>SUM(P822:P889)/2</f>
        <v>10594.562903999999</v>
      </c>
    </row>
    <row r="822" spans="1:16" x14ac:dyDescent="0.25">
      <c r="A822" s="611"/>
      <c r="B822" s="611"/>
      <c r="C822" s="611"/>
      <c r="D822" s="612"/>
      <c r="E822" s="611"/>
      <c r="F822" s="613"/>
      <c r="G822" s="614"/>
      <c r="H822" s="613"/>
      <c r="I822" s="614"/>
      <c r="J822" s="614"/>
      <c r="K822" s="614"/>
      <c r="L822" s="614"/>
      <c r="M822" s="614"/>
      <c r="N822" s="614"/>
      <c r="O822" s="614"/>
      <c r="P822" s="614"/>
    </row>
    <row r="823" spans="1:16" x14ac:dyDescent="0.25">
      <c r="A823" s="619"/>
      <c r="B823" s="619"/>
      <c r="C823" s="615" t="s">
        <v>1619</v>
      </c>
      <c r="D823" s="628" t="s">
        <v>1620</v>
      </c>
      <c r="E823" s="619"/>
      <c r="F823" s="621"/>
      <c r="G823" s="622"/>
      <c r="H823" s="621"/>
      <c r="I823" s="622"/>
      <c r="J823" s="622"/>
      <c r="K823" s="622"/>
      <c r="L823" s="622"/>
      <c r="M823" s="622"/>
      <c r="N823" s="622"/>
      <c r="O823" s="622"/>
      <c r="P823" s="617">
        <f>SUM(P825:P854)</f>
        <v>7708.4454239999995</v>
      </c>
    </row>
    <row r="824" spans="1:16" x14ac:dyDescent="0.25">
      <c r="A824" s="611"/>
      <c r="B824" s="611"/>
      <c r="C824" s="611"/>
      <c r="D824" s="629"/>
      <c r="E824" s="611"/>
      <c r="F824" s="613"/>
      <c r="G824" s="614"/>
      <c r="H824" s="613"/>
      <c r="I824" s="614"/>
      <c r="J824" s="614"/>
      <c r="K824" s="614"/>
      <c r="L824" s="614"/>
      <c r="M824" s="614"/>
      <c r="N824" s="614"/>
      <c r="O824" s="614"/>
      <c r="P824" s="614"/>
    </row>
    <row r="825" spans="1:16" ht="36" x14ac:dyDescent="0.25">
      <c r="A825" s="619"/>
      <c r="B825" s="619"/>
      <c r="C825" s="619" t="s">
        <v>1621</v>
      </c>
      <c r="D825" s="620" t="s">
        <v>1622</v>
      </c>
      <c r="E825" s="619" t="s">
        <v>248</v>
      </c>
      <c r="F825" s="621"/>
      <c r="G825" s="622"/>
      <c r="H825" s="621">
        <f>60+123</f>
        <v>183</v>
      </c>
      <c r="I825" s="622">
        <f>SUM(I826:I829)</f>
        <v>6.2899999999999991</v>
      </c>
      <c r="J825" s="622">
        <f>SUM(J826:J829)</f>
        <v>12.18</v>
      </c>
      <c r="K825" s="622">
        <f>I825+J825</f>
        <v>18.47</v>
      </c>
      <c r="L825" s="622">
        <f>H825*I825</f>
        <v>1151.07</v>
      </c>
      <c r="M825" s="622">
        <f>H825*J825</f>
        <v>2228.94</v>
      </c>
      <c r="N825" s="622">
        <f>L825+M825</f>
        <v>3380.01</v>
      </c>
      <c r="O825" s="622">
        <f>N825*$P$4</f>
        <v>830.13045600000009</v>
      </c>
      <c r="P825" s="622">
        <f>N825+O825</f>
        <v>4210.1404560000001</v>
      </c>
    </row>
    <row r="826" spans="1:16" ht="24" x14ac:dyDescent="0.25">
      <c r="A826" s="611" t="s">
        <v>278</v>
      </c>
      <c r="B826" s="611" t="s">
        <v>1623</v>
      </c>
      <c r="C826" s="611"/>
      <c r="D826" s="612" t="s">
        <v>1624</v>
      </c>
      <c r="E826" s="611" t="s">
        <v>248</v>
      </c>
      <c r="F826" s="613">
        <v>1</v>
      </c>
      <c r="G826" s="614">
        <v>5.0999999999999996</v>
      </c>
      <c r="H826" s="613"/>
      <c r="I826" s="614">
        <f>ROUND(F826*G826,2)</f>
        <v>5.0999999999999996</v>
      </c>
      <c r="J826" s="614"/>
      <c r="K826" s="614">
        <f t="shared" ref="K826:K829" si="175">I826+J826</f>
        <v>5.0999999999999996</v>
      </c>
      <c r="L826" s="614"/>
      <c r="M826" s="614"/>
      <c r="N826" s="614"/>
      <c r="O826" s="614"/>
      <c r="P826" s="614"/>
    </row>
    <row r="827" spans="1:16" x14ac:dyDescent="0.25">
      <c r="A827" s="611" t="s">
        <v>277</v>
      </c>
      <c r="B827" s="611" t="s">
        <v>1163</v>
      </c>
      <c r="C827" s="611"/>
      <c r="D827" s="612" t="s">
        <v>1625</v>
      </c>
      <c r="E827" s="611" t="s">
        <v>253</v>
      </c>
      <c r="F827" s="613">
        <v>0.105</v>
      </c>
      <c r="G827" s="614">
        <v>21.42</v>
      </c>
      <c r="H827" s="613"/>
      <c r="I827" s="614">
        <f>ROUND(0.53*F827*G827,2)</f>
        <v>1.19</v>
      </c>
      <c r="J827" s="614">
        <f>ROUND(0.47*F827*G827,2)</f>
        <v>1.06</v>
      </c>
      <c r="K827" s="614">
        <f t="shared" si="175"/>
        <v>2.25</v>
      </c>
      <c r="L827" s="614"/>
      <c r="M827" s="614"/>
      <c r="N827" s="614"/>
      <c r="O827" s="614"/>
      <c r="P827" s="614"/>
    </row>
    <row r="828" spans="1:16" x14ac:dyDescent="0.25">
      <c r="A828" s="611" t="s">
        <v>277</v>
      </c>
      <c r="B828" s="611">
        <v>2436</v>
      </c>
      <c r="C828" s="611"/>
      <c r="D828" s="612" t="s">
        <v>1069</v>
      </c>
      <c r="E828" s="611" t="s">
        <v>229</v>
      </c>
      <c r="F828" s="613">
        <v>0.5</v>
      </c>
      <c r="G828" s="614">
        <v>12.57</v>
      </c>
      <c r="H828" s="613"/>
      <c r="I828" s="614"/>
      <c r="J828" s="614">
        <f>ROUND(F828*G828,2)</f>
        <v>6.29</v>
      </c>
      <c r="K828" s="614">
        <f t="shared" si="175"/>
        <v>6.29</v>
      </c>
      <c r="L828" s="614"/>
      <c r="M828" s="614"/>
      <c r="N828" s="614"/>
      <c r="O828" s="614"/>
      <c r="P828" s="614"/>
    </row>
    <row r="829" spans="1:16" x14ac:dyDescent="0.25">
      <c r="A829" s="611" t="s">
        <v>277</v>
      </c>
      <c r="B829" s="611">
        <v>247</v>
      </c>
      <c r="C829" s="611"/>
      <c r="D829" s="612" t="s">
        <v>1070</v>
      </c>
      <c r="E829" s="611" t="s">
        <v>229</v>
      </c>
      <c r="F829" s="613">
        <v>0.5</v>
      </c>
      <c r="G829" s="614">
        <v>9.65</v>
      </c>
      <c r="H829" s="613"/>
      <c r="I829" s="614"/>
      <c r="J829" s="614">
        <f>ROUND(F829*G829,2)</f>
        <v>4.83</v>
      </c>
      <c r="K829" s="614">
        <f t="shared" si="175"/>
        <v>4.83</v>
      </c>
      <c r="L829" s="614"/>
      <c r="M829" s="614"/>
      <c r="N829" s="614"/>
      <c r="O829" s="614"/>
      <c r="P829" s="614"/>
    </row>
    <row r="830" spans="1:16" x14ac:dyDescent="0.25">
      <c r="A830" s="619"/>
      <c r="B830" s="619"/>
      <c r="C830" s="619" t="s">
        <v>1626</v>
      </c>
      <c r="D830" s="620" t="s">
        <v>1264</v>
      </c>
      <c r="E830" s="619" t="s">
        <v>251</v>
      </c>
      <c r="F830" s="621"/>
      <c r="G830" s="622"/>
      <c r="H830" s="621">
        <v>7</v>
      </c>
      <c r="I830" s="622">
        <f>SUM(I831:I833)</f>
        <v>7.93</v>
      </c>
      <c r="J830" s="622">
        <f>SUM(J831:J833)</f>
        <v>11.120000000000001</v>
      </c>
      <c r="K830" s="622">
        <f>I830+J830</f>
        <v>19.05</v>
      </c>
      <c r="L830" s="622">
        <f>H830*I830</f>
        <v>55.51</v>
      </c>
      <c r="M830" s="622">
        <f>H830*J830</f>
        <v>77.84</v>
      </c>
      <c r="N830" s="622">
        <f>L830+M830</f>
        <v>133.35</v>
      </c>
      <c r="O830" s="622">
        <f>N830*$P$4</f>
        <v>32.75076</v>
      </c>
      <c r="P830" s="622">
        <f>N830+O830</f>
        <v>166.10075999999998</v>
      </c>
    </row>
    <row r="831" spans="1:16" x14ac:dyDescent="0.25">
      <c r="A831" s="611" t="s">
        <v>278</v>
      </c>
      <c r="B831" s="611" t="s">
        <v>1265</v>
      </c>
      <c r="C831" s="611"/>
      <c r="D831" s="612" t="s">
        <v>1264</v>
      </c>
      <c r="E831" s="611" t="s">
        <v>251</v>
      </c>
      <c r="F831" s="613">
        <v>1</v>
      </c>
      <c r="G831" s="614">
        <v>7.93</v>
      </c>
      <c r="H831" s="613"/>
      <c r="I831" s="614">
        <f>ROUND(F831*G831,2)</f>
        <v>7.93</v>
      </c>
      <c r="J831" s="614"/>
      <c r="K831" s="614">
        <f>I831+J831</f>
        <v>7.93</v>
      </c>
      <c r="L831" s="614"/>
      <c r="M831" s="614"/>
      <c r="N831" s="614"/>
      <c r="O831" s="614"/>
      <c r="P831" s="614"/>
    </row>
    <row r="832" spans="1:16" x14ac:dyDescent="0.25">
      <c r="A832" s="611" t="s">
        <v>277</v>
      </c>
      <c r="B832" s="611">
        <v>2436</v>
      </c>
      <c r="C832" s="611"/>
      <c r="D832" s="612" t="s">
        <v>1069</v>
      </c>
      <c r="E832" s="611" t="s">
        <v>229</v>
      </c>
      <c r="F832" s="613">
        <v>0.5</v>
      </c>
      <c r="G832" s="614">
        <v>12.57</v>
      </c>
      <c r="H832" s="613"/>
      <c r="I832" s="614"/>
      <c r="J832" s="614">
        <f>ROUND(F832*G832,2)</f>
        <v>6.29</v>
      </c>
      <c r="K832" s="614">
        <f t="shared" ref="K832:K833" si="176">I832+J832</f>
        <v>6.29</v>
      </c>
      <c r="L832" s="614"/>
      <c r="M832" s="614"/>
      <c r="N832" s="614"/>
      <c r="O832" s="614"/>
      <c r="P832" s="614"/>
    </row>
    <row r="833" spans="1:16" x14ac:dyDescent="0.25">
      <c r="A833" s="611" t="s">
        <v>277</v>
      </c>
      <c r="B833" s="611">
        <v>247</v>
      </c>
      <c r="C833" s="611"/>
      <c r="D833" s="612" t="s">
        <v>1070</v>
      </c>
      <c r="E833" s="611" t="s">
        <v>229</v>
      </c>
      <c r="F833" s="613">
        <v>0.5</v>
      </c>
      <c r="G833" s="614">
        <v>9.65</v>
      </c>
      <c r="H833" s="613"/>
      <c r="I833" s="614"/>
      <c r="J833" s="614">
        <f>ROUND(F833*G833,2)</f>
        <v>4.83</v>
      </c>
      <c r="K833" s="614">
        <f t="shared" si="176"/>
        <v>4.83</v>
      </c>
      <c r="L833" s="614"/>
      <c r="M833" s="614"/>
      <c r="N833" s="614"/>
      <c r="O833" s="614"/>
      <c r="P833" s="614"/>
    </row>
    <row r="834" spans="1:16" x14ac:dyDescent="0.25">
      <c r="A834" s="619"/>
      <c r="B834" s="619"/>
      <c r="C834" s="619" t="s">
        <v>1627</v>
      </c>
      <c r="D834" s="620" t="s">
        <v>1267</v>
      </c>
      <c r="E834" s="619" t="s">
        <v>251</v>
      </c>
      <c r="F834" s="621"/>
      <c r="G834" s="622"/>
      <c r="H834" s="621">
        <v>11</v>
      </c>
      <c r="I834" s="622">
        <f>SUM(I835:I837)</f>
        <v>9.85</v>
      </c>
      <c r="J834" s="622">
        <f>SUM(J835:J837)</f>
        <v>11.120000000000001</v>
      </c>
      <c r="K834" s="622">
        <f>I834+J834</f>
        <v>20.97</v>
      </c>
      <c r="L834" s="622">
        <f>H834*I834</f>
        <v>108.35</v>
      </c>
      <c r="M834" s="622">
        <f>H834*J834</f>
        <v>122.32000000000001</v>
      </c>
      <c r="N834" s="622">
        <f>L834+M834</f>
        <v>230.67000000000002</v>
      </c>
      <c r="O834" s="622">
        <f>N834*$P$4</f>
        <v>56.652552000000007</v>
      </c>
      <c r="P834" s="622">
        <f>N834+O834</f>
        <v>287.32255200000003</v>
      </c>
    </row>
    <row r="835" spans="1:16" x14ac:dyDescent="0.25">
      <c r="A835" s="611" t="s">
        <v>278</v>
      </c>
      <c r="B835" s="611" t="s">
        <v>1268</v>
      </c>
      <c r="C835" s="611"/>
      <c r="D835" s="612" t="s">
        <v>1267</v>
      </c>
      <c r="E835" s="611" t="s">
        <v>251</v>
      </c>
      <c r="F835" s="613">
        <v>1</v>
      </c>
      <c r="G835" s="614">
        <v>9.85</v>
      </c>
      <c r="H835" s="613"/>
      <c r="I835" s="614">
        <f>ROUND(F835*G835,2)</f>
        <v>9.85</v>
      </c>
      <c r="J835" s="614"/>
      <c r="K835" s="614">
        <f>I835+J835</f>
        <v>9.85</v>
      </c>
      <c r="L835" s="614"/>
      <c r="M835" s="614"/>
      <c r="N835" s="614"/>
      <c r="O835" s="614"/>
      <c r="P835" s="614"/>
    </row>
    <row r="836" spans="1:16" x14ac:dyDescent="0.25">
      <c r="A836" s="611" t="s">
        <v>277</v>
      </c>
      <c r="B836" s="611">
        <v>2436</v>
      </c>
      <c r="C836" s="611"/>
      <c r="D836" s="612" t="s">
        <v>1069</v>
      </c>
      <c r="E836" s="611" t="s">
        <v>229</v>
      </c>
      <c r="F836" s="613">
        <v>0.5</v>
      </c>
      <c r="G836" s="614">
        <v>12.57</v>
      </c>
      <c r="H836" s="613"/>
      <c r="I836" s="614"/>
      <c r="J836" s="614">
        <f>ROUND(F836*G836,2)</f>
        <v>6.29</v>
      </c>
      <c r="K836" s="614">
        <f t="shared" ref="K836:K837" si="177">I836+J836</f>
        <v>6.29</v>
      </c>
      <c r="L836" s="614"/>
      <c r="M836" s="614"/>
      <c r="N836" s="614"/>
      <c r="O836" s="614"/>
      <c r="P836" s="614"/>
    </row>
    <row r="837" spans="1:16" x14ac:dyDescent="0.25">
      <c r="A837" s="611" t="s">
        <v>277</v>
      </c>
      <c r="B837" s="611">
        <v>247</v>
      </c>
      <c r="C837" s="611"/>
      <c r="D837" s="612" t="s">
        <v>1070</v>
      </c>
      <c r="E837" s="611" t="s">
        <v>229</v>
      </c>
      <c r="F837" s="613">
        <v>0.5</v>
      </c>
      <c r="G837" s="614">
        <v>9.65</v>
      </c>
      <c r="H837" s="613"/>
      <c r="I837" s="614"/>
      <c r="J837" s="614">
        <f>ROUND(F837*G837,2)</f>
        <v>4.83</v>
      </c>
      <c r="K837" s="614">
        <f t="shared" si="177"/>
        <v>4.83</v>
      </c>
      <c r="L837" s="614"/>
      <c r="M837" s="614"/>
      <c r="N837" s="614"/>
      <c r="O837" s="614"/>
      <c r="P837" s="614"/>
    </row>
    <row r="838" spans="1:16" x14ac:dyDescent="0.25">
      <c r="A838" s="619"/>
      <c r="B838" s="619"/>
      <c r="C838" s="619" t="s">
        <v>1628</v>
      </c>
      <c r="D838" s="620" t="s">
        <v>1275</v>
      </c>
      <c r="E838" s="619" t="s">
        <v>251</v>
      </c>
      <c r="F838" s="621"/>
      <c r="G838" s="622"/>
      <c r="H838" s="621">
        <v>5</v>
      </c>
      <c r="I838" s="622">
        <f>SUM(I839:I841)</f>
        <v>10.16</v>
      </c>
      <c r="J838" s="622">
        <f>SUM(J839:J841)</f>
        <v>13.33</v>
      </c>
      <c r="K838" s="622">
        <f>I838+J838</f>
        <v>23.490000000000002</v>
      </c>
      <c r="L838" s="622">
        <f>H838*I838</f>
        <v>50.8</v>
      </c>
      <c r="M838" s="622">
        <f>H838*J838</f>
        <v>66.650000000000006</v>
      </c>
      <c r="N838" s="622">
        <f>L838+M838</f>
        <v>117.45</v>
      </c>
      <c r="O838" s="622">
        <f>N838*$P$4</f>
        <v>28.845720000000004</v>
      </c>
      <c r="P838" s="622">
        <f>N838+O838</f>
        <v>146.29572000000002</v>
      </c>
    </row>
    <row r="839" spans="1:16" x14ac:dyDescent="0.25">
      <c r="A839" s="611" t="s">
        <v>278</v>
      </c>
      <c r="B839" s="611" t="s">
        <v>1276</v>
      </c>
      <c r="C839" s="611"/>
      <c r="D839" s="612" t="s">
        <v>1275</v>
      </c>
      <c r="E839" s="611" t="s">
        <v>251</v>
      </c>
      <c r="F839" s="613">
        <v>1</v>
      </c>
      <c r="G839" s="614">
        <v>10.16</v>
      </c>
      <c r="H839" s="613"/>
      <c r="I839" s="614">
        <f>ROUND(F839*G839,2)</f>
        <v>10.16</v>
      </c>
      <c r="J839" s="614"/>
      <c r="K839" s="614">
        <f>I839+J839</f>
        <v>10.16</v>
      </c>
      <c r="L839" s="614"/>
      <c r="M839" s="614"/>
      <c r="N839" s="614"/>
      <c r="O839" s="614"/>
      <c r="P839" s="614"/>
    </row>
    <row r="840" spans="1:16" x14ac:dyDescent="0.25">
      <c r="A840" s="611" t="s">
        <v>277</v>
      </c>
      <c r="B840" s="611">
        <v>2436</v>
      </c>
      <c r="C840" s="611"/>
      <c r="D840" s="612" t="s">
        <v>1069</v>
      </c>
      <c r="E840" s="611" t="s">
        <v>229</v>
      </c>
      <c r="F840" s="613">
        <v>0.6</v>
      </c>
      <c r="G840" s="614">
        <v>12.57</v>
      </c>
      <c r="H840" s="613"/>
      <c r="I840" s="614"/>
      <c r="J840" s="614">
        <f>ROUND(F840*G840,2)</f>
        <v>7.54</v>
      </c>
      <c r="K840" s="614">
        <f t="shared" ref="K840:K841" si="178">I840+J840</f>
        <v>7.54</v>
      </c>
      <c r="L840" s="614"/>
      <c r="M840" s="614"/>
      <c r="N840" s="614"/>
      <c r="O840" s="614"/>
      <c r="P840" s="614"/>
    </row>
    <row r="841" spans="1:16" x14ac:dyDescent="0.25">
      <c r="A841" s="611" t="s">
        <v>277</v>
      </c>
      <c r="B841" s="611">
        <v>247</v>
      </c>
      <c r="C841" s="611"/>
      <c r="D841" s="612" t="s">
        <v>1070</v>
      </c>
      <c r="E841" s="611" t="s">
        <v>229</v>
      </c>
      <c r="F841" s="613">
        <v>0.6</v>
      </c>
      <c r="G841" s="614">
        <v>9.65</v>
      </c>
      <c r="H841" s="613"/>
      <c r="I841" s="614"/>
      <c r="J841" s="614">
        <f>ROUND(F841*G841,2)</f>
        <v>5.79</v>
      </c>
      <c r="K841" s="614">
        <f t="shared" si="178"/>
        <v>5.79</v>
      </c>
      <c r="L841" s="614"/>
      <c r="M841" s="614"/>
      <c r="N841" s="614"/>
      <c r="O841" s="614"/>
      <c r="P841" s="614"/>
    </row>
    <row r="842" spans="1:16" x14ac:dyDescent="0.25">
      <c r="A842" s="619"/>
      <c r="B842" s="619"/>
      <c r="C842" s="619" t="s">
        <v>1629</v>
      </c>
      <c r="D842" s="620" t="s">
        <v>1270</v>
      </c>
      <c r="E842" s="619" t="s">
        <v>251</v>
      </c>
      <c r="F842" s="621"/>
      <c r="G842" s="622"/>
      <c r="H842" s="621">
        <v>23</v>
      </c>
      <c r="I842" s="622">
        <f>SUM(I843:I845)</f>
        <v>8.48</v>
      </c>
      <c r="J842" s="622">
        <f>SUM(J843:J845)</f>
        <v>11.120000000000001</v>
      </c>
      <c r="K842" s="622">
        <f>I842+J842</f>
        <v>19.600000000000001</v>
      </c>
      <c r="L842" s="622">
        <f>H842*I842</f>
        <v>195.04000000000002</v>
      </c>
      <c r="M842" s="622">
        <f>H842*J842</f>
        <v>255.76000000000002</v>
      </c>
      <c r="N842" s="622">
        <f>L842+M842</f>
        <v>450.80000000000007</v>
      </c>
      <c r="O842" s="622">
        <f>N842*$P$4</f>
        <v>110.71648000000002</v>
      </c>
      <c r="P842" s="622">
        <f>N842+O842</f>
        <v>561.51648000000012</v>
      </c>
    </row>
    <row r="843" spans="1:16" x14ac:dyDescent="0.25">
      <c r="A843" s="611" t="s">
        <v>278</v>
      </c>
      <c r="B843" s="611" t="s">
        <v>1271</v>
      </c>
      <c r="C843" s="611"/>
      <c r="D843" s="612" t="s">
        <v>1270</v>
      </c>
      <c r="E843" s="611" t="s">
        <v>251</v>
      </c>
      <c r="F843" s="613">
        <v>1</v>
      </c>
      <c r="G843" s="614">
        <v>8.48</v>
      </c>
      <c r="H843" s="613"/>
      <c r="I843" s="614">
        <f>ROUND(F843*G843,2)</f>
        <v>8.48</v>
      </c>
      <c r="J843" s="614"/>
      <c r="K843" s="614">
        <f>I843+J843</f>
        <v>8.48</v>
      </c>
      <c r="L843" s="614"/>
      <c r="M843" s="614"/>
      <c r="N843" s="614"/>
      <c r="O843" s="614"/>
      <c r="P843" s="614"/>
    </row>
    <row r="844" spans="1:16" x14ac:dyDescent="0.25">
      <c r="A844" s="611" t="s">
        <v>277</v>
      </c>
      <c r="B844" s="611">
        <v>2436</v>
      </c>
      <c r="C844" s="611"/>
      <c r="D844" s="612" t="s">
        <v>1069</v>
      </c>
      <c r="E844" s="611" t="s">
        <v>229</v>
      </c>
      <c r="F844" s="613">
        <v>0.5</v>
      </c>
      <c r="G844" s="614">
        <v>12.57</v>
      </c>
      <c r="H844" s="613"/>
      <c r="I844" s="614"/>
      <c r="J844" s="614">
        <f>ROUND(F844*G844,2)</f>
        <v>6.29</v>
      </c>
      <c r="K844" s="614">
        <f t="shared" ref="K844:K845" si="179">I844+J844</f>
        <v>6.29</v>
      </c>
      <c r="L844" s="614"/>
      <c r="M844" s="614"/>
      <c r="N844" s="614"/>
      <c r="O844" s="614"/>
      <c r="P844" s="614"/>
    </row>
    <row r="845" spans="1:16" x14ac:dyDescent="0.25">
      <c r="A845" s="611" t="s">
        <v>277</v>
      </c>
      <c r="B845" s="611">
        <v>247</v>
      </c>
      <c r="C845" s="611"/>
      <c r="D845" s="612" t="s">
        <v>1070</v>
      </c>
      <c r="E845" s="611" t="s">
        <v>229</v>
      </c>
      <c r="F845" s="613">
        <v>0.5</v>
      </c>
      <c r="G845" s="614">
        <v>9.65</v>
      </c>
      <c r="H845" s="613"/>
      <c r="I845" s="614"/>
      <c r="J845" s="614">
        <f>ROUND(F845*G845,2)</f>
        <v>4.83</v>
      </c>
      <c r="K845" s="614">
        <f t="shared" si="179"/>
        <v>4.83</v>
      </c>
      <c r="L845" s="614"/>
      <c r="M845" s="614"/>
      <c r="N845" s="614"/>
      <c r="O845" s="614"/>
      <c r="P845" s="614"/>
    </row>
    <row r="846" spans="1:16" ht="24" x14ac:dyDescent="0.25">
      <c r="A846" s="619"/>
      <c r="B846" s="619"/>
      <c r="C846" s="619" t="s">
        <v>1630</v>
      </c>
      <c r="D846" s="620" t="s">
        <v>1631</v>
      </c>
      <c r="E846" s="619" t="s">
        <v>248</v>
      </c>
      <c r="F846" s="621"/>
      <c r="G846" s="622"/>
      <c r="H846" s="621">
        <v>265</v>
      </c>
      <c r="I846" s="622">
        <f>SUM(I847:I849)</f>
        <v>1.69</v>
      </c>
      <c r="J846" s="622">
        <f>SUM(J847:J849)</f>
        <v>2.67</v>
      </c>
      <c r="K846" s="622">
        <f>I846+J846</f>
        <v>4.3599999999999994</v>
      </c>
      <c r="L846" s="622">
        <f>H846*I846</f>
        <v>447.84999999999997</v>
      </c>
      <c r="M846" s="622">
        <f>H846*J846</f>
        <v>707.55</v>
      </c>
      <c r="N846" s="622">
        <f>L846+M846</f>
        <v>1155.3999999999999</v>
      </c>
      <c r="O846" s="622">
        <f>N846*$P$4</f>
        <v>283.76623999999998</v>
      </c>
      <c r="P846" s="622">
        <f>N846+O846</f>
        <v>1439.1662399999998</v>
      </c>
    </row>
    <row r="847" spans="1:16" ht="24" x14ac:dyDescent="0.25">
      <c r="A847" s="611" t="s">
        <v>1108</v>
      </c>
      <c r="B847" s="611" t="s">
        <v>1632</v>
      </c>
      <c r="C847" s="611"/>
      <c r="D847" s="612" t="s">
        <v>1631</v>
      </c>
      <c r="E847" s="611" t="s">
        <v>248</v>
      </c>
      <c r="F847" s="613">
        <v>1</v>
      </c>
      <c r="G847" s="614">
        <v>1.69</v>
      </c>
      <c r="H847" s="613"/>
      <c r="I847" s="614">
        <f>ROUND(F847*G847,2)</f>
        <v>1.69</v>
      </c>
      <c r="J847" s="614"/>
      <c r="K847" s="614">
        <f>I847+J847</f>
        <v>1.69</v>
      </c>
      <c r="L847" s="614"/>
      <c r="M847" s="614"/>
      <c r="N847" s="614"/>
      <c r="O847" s="614"/>
      <c r="P847" s="614"/>
    </row>
    <row r="848" spans="1:16" x14ac:dyDescent="0.25">
      <c r="A848" s="611" t="s">
        <v>277</v>
      </c>
      <c r="B848" s="611">
        <v>2436</v>
      </c>
      <c r="C848" s="611"/>
      <c r="D848" s="612" t="s">
        <v>1069</v>
      </c>
      <c r="E848" s="611" t="s">
        <v>229</v>
      </c>
      <c r="F848" s="613">
        <v>0.12</v>
      </c>
      <c r="G848" s="614">
        <v>12.57</v>
      </c>
      <c r="H848" s="613"/>
      <c r="I848" s="614"/>
      <c r="J848" s="614">
        <f>ROUND(F848*G848,2)</f>
        <v>1.51</v>
      </c>
      <c r="K848" s="614">
        <f t="shared" ref="K848:K849" si="180">I848+J848</f>
        <v>1.51</v>
      </c>
      <c r="L848" s="614"/>
      <c r="M848" s="614"/>
      <c r="N848" s="614"/>
      <c r="O848" s="614"/>
      <c r="P848" s="614"/>
    </row>
    <row r="849" spans="1:16" x14ac:dyDescent="0.25">
      <c r="A849" s="611" t="s">
        <v>277</v>
      </c>
      <c r="B849" s="611">
        <v>247</v>
      </c>
      <c r="C849" s="611"/>
      <c r="D849" s="612" t="s">
        <v>1070</v>
      </c>
      <c r="E849" s="611" t="s">
        <v>229</v>
      </c>
      <c r="F849" s="613">
        <v>0.12</v>
      </c>
      <c r="G849" s="614">
        <v>9.65</v>
      </c>
      <c r="H849" s="613"/>
      <c r="I849" s="614"/>
      <c r="J849" s="614">
        <f>ROUND(F849*G849,2)</f>
        <v>1.1599999999999999</v>
      </c>
      <c r="K849" s="614">
        <f t="shared" si="180"/>
        <v>1.1599999999999999</v>
      </c>
      <c r="L849" s="614"/>
      <c r="M849" s="614"/>
      <c r="N849" s="614"/>
      <c r="O849" s="614"/>
      <c r="P849" s="614"/>
    </row>
    <row r="850" spans="1:16" ht="24" x14ac:dyDescent="0.25">
      <c r="A850" s="619"/>
      <c r="B850" s="619"/>
      <c r="C850" s="619" t="s">
        <v>1633</v>
      </c>
      <c r="D850" s="620" t="s">
        <v>1634</v>
      </c>
      <c r="E850" s="619" t="s">
        <v>248</v>
      </c>
      <c r="F850" s="621"/>
      <c r="G850" s="622"/>
      <c r="H850" s="621">
        <v>133</v>
      </c>
      <c r="I850" s="622">
        <f>SUM(I851:I853)</f>
        <v>2.31</v>
      </c>
      <c r="J850" s="622">
        <f>SUM(J851:J853)</f>
        <v>3.1100000000000003</v>
      </c>
      <c r="K850" s="622">
        <f>I850+J850</f>
        <v>5.42</v>
      </c>
      <c r="L850" s="622">
        <f>H850*I850</f>
        <v>307.23</v>
      </c>
      <c r="M850" s="622">
        <f>H850*J850</f>
        <v>413.63000000000005</v>
      </c>
      <c r="N850" s="622">
        <f>L850+M850</f>
        <v>720.86000000000013</v>
      </c>
      <c r="O850" s="622">
        <f>N850*$P$4</f>
        <v>177.04321600000003</v>
      </c>
      <c r="P850" s="622">
        <f>N850+O850</f>
        <v>897.90321600000016</v>
      </c>
    </row>
    <row r="851" spans="1:16" ht="24" x14ac:dyDescent="0.25">
      <c r="A851" s="611" t="s">
        <v>1108</v>
      </c>
      <c r="B851" s="611" t="s">
        <v>1635</v>
      </c>
      <c r="C851" s="611"/>
      <c r="D851" s="612" t="s">
        <v>1634</v>
      </c>
      <c r="E851" s="611" t="s">
        <v>248</v>
      </c>
      <c r="F851" s="613">
        <v>1</v>
      </c>
      <c r="G851" s="614">
        <v>2.31</v>
      </c>
      <c r="H851" s="613"/>
      <c r="I851" s="614">
        <f>ROUND(F851*G851,2)</f>
        <v>2.31</v>
      </c>
      <c r="J851" s="614"/>
      <c r="K851" s="614">
        <f>I851+J851</f>
        <v>2.31</v>
      </c>
      <c r="L851" s="614"/>
      <c r="M851" s="614"/>
      <c r="N851" s="614"/>
      <c r="O851" s="614"/>
      <c r="P851" s="614"/>
    </row>
    <row r="852" spans="1:16" x14ac:dyDescent="0.25">
      <c r="A852" s="611" t="s">
        <v>277</v>
      </c>
      <c r="B852" s="611">
        <v>2436</v>
      </c>
      <c r="C852" s="611"/>
      <c r="D852" s="612" t="s">
        <v>1069</v>
      </c>
      <c r="E852" s="611" t="s">
        <v>229</v>
      </c>
      <c r="F852" s="613">
        <v>0.14000000000000001</v>
      </c>
      <c r="G852" s="614">
        <v>12.57</v>
      </c>
      <c r="H852" s="613"/>
      <c r="I852" s="614"/>
      <c r="J852" s="614">
        <f>ROUND(F852*G852,2)</f>
        <v>1.76</v>
      </c>
      <c r="K852" s="614">
        <f t="shared" ref="K852:K853" si="181">I852+J852</f>
        <v>1.76</v>
      </c>
      <c r="L852" s="614"/>
      <c r="M852" s="614"/>
      <c r="N852" s="614"/>
      <c r="O852" s="614"/>
      <c r="P852" s="614"/>
    </row>
    <row r="853" spans="1:16" x14ac:dyDescent="0.25">
      <c r="A853" s="611" t="s">
        <v>277</v>
      </c>
      <c r="B853" s="611">
        <v>247</v>
      </c>
      <c r="C853" s="611"/>
      <c r="D853" s="612" t="s">
        <v>1070</v>
      </c>
      <c r="E853" s="611" t="s">
        <v>229</v>
      </c>
      <c r="F853" s="613">
        <v>0.14000000000000001</v>
      </c>
      <c r="G853" s="614">
        <v>9.65</v>
      </c>
      <c r="H853" s="613"/>
      <c r="I853" s="614"/>
      <c r="J853" s="614">
        <f>ROUND(F853*G853,2)</f>
        <v>1.35</v>
      </c>
      <c r="K853" s="614">
        <f t="shared" si="181"/>
        <v>1.35</v>
      </c>
      <c r="L853" s="614"/>
      <c r="M853" s="614"/>
      <c r="N853" s="614"/>
      <c r="O853" s="614"/>
      <c r="P853" s="614"/>
    </row>
    <row r="854" spans="1:16" x14ac:dyDescent="0.25">
      <c r="A854" s="611"/>
      <c r="B854" s="611"/>
      <c r="C854" s="611"/>
      <c r="D854" s="612"/>
      <c r="E854" s="611"/>
      <c r="F854" s="613"/>
      <c r="G854" s="614"/>
      <c r="H854" s="613"/>
      <c r="I854" s="614"/>
      <c r="J854" s="614"/>
      <c r="K854" s="614"/>
      <c r="L854" s="614"/>
      <c r="M854" s="614"/>
      <c r="N854" s="614"/>
      <c r="O854" s="614"/>
      <c r="P854" s="614"/>
    </row>
    <row r="855" spans="1:16" x14ac:dyDescent="0.25">
      <c r="A855" s="619"/>
      <c r="B855" s="619"/>
      <c r="C855" s="615" t="s">
        <v>1636</v>
      </c>
      <c r="D855" s="628" t="s">
        <v>1637</v>
      </c>
      <c r="E855" s="619"/>
      <c r="F855" s="621"/>
      <c r="G855" s="622"/>
      <c r="H855" s="621"/>
      <c r="I855" s="622"/>
      <c r="J855" s="622"/>
      <c r="K855" s="622"/>
      <c r="L855" s="622"/>
      <c r="M855" s="622"/>
      <c r="N855" s="622"/>
      <c r="O855" s="622"/>
      <c r="P855" s="617">
        <f>SUM(P857:P873)</f>
        <v>2251.0483200000003</v>
      </c>
    </row>
    <row r="856" spans="1:16" x14ac:dyDescent="0.25">
      <c r="A856" s="611"/>
      <c r="B856" s="611"/>
      <c r="C856" s="611"/>
      <c r="D856" s="612"/>
      <c r="E856" s="611"/>
      <c r="F856" s="613"/>
      <c r="G856" s="614"/>
      <c r="H856" s="613"/>
      <c r="I856" s="614"/>
      <c r="J856" s="614"/>
      <c r="K856" s="614"/>
      <c r="L856" s="614"/>
      <c r="M856" s="614"/>
      <c r="N856" s="614"/>
      <c r="O856" s="614"/>
      <c r="P856" s="614"/>
    </row>
    <row r="857" spans="1:16" x14ac:dyDescent="0.25">
      <c r="A857" s="619"/>
      <c r="B857" s="619"/>
      <c r="C857" s="619" t="s">
        <v>1638</v>
      </c>
      <c r="D857" s="620" t="s">
        <v>1639</v>
      </c>
      <c r="E857" s="619" t="s">
        <v>251</v>
      </c>
      <c r="F857" s="621"/>
      <c r="G857" s="622"/>
      <c r="H857" s="621">
        <v>1</v>
      </c>
      <c r="I857" s="622">
        <f>SUM(I858:I860)</f>
        <v>340.4</v>
      </c>
      <c r="J857" s="622">
        <f>SUM(J858:J860)</f>
        <v>206.8</v>
      </c>
      <c r="K857" s="622">
        <f>I857+J857</f>
        <v>547.20000000000005</v>
      </c>
      <c r="L857" s="622">
        <f>H857*I857</f>
        <v>340.4</v>
      </c>
      <c r="M857" s="622">
        <f>H857*J857</f>
        <v>206.8</v>
      </c>
      <c r="N857" s="622">
        <f>L857+M857</f>
        <v>547.20000000000005</v>
      </c>
      <c r="O857" s="622">
        <f>N857*$P$4</f>
        <v>134.39232000000001</v>
      </c>
      <c r="P857" s="622">
        <f>N857+O857</f>
        <v>681.59232000000009</v>
      </c>
    </row>
    <row r="858" spans="1:16" ht="108" x14ac:dyDescent="0.25">
      <c r="A858" s="611" t="s">
        <v>1108</v>
      </c>
      <c r="B858" s="624" t="s">
        <v>1640</v>
      </c>
      <c r="C858" s="611"/>
      <c r="D858" s="612" t="s">
        <v>1641</v>
      </c>
      <c r="E858" s="611" t="s">
        <v>251</v>
      </c>
      <c r="F858" s="613">
        <v>1</v>
      </c>
      <c r="G858" s="623">
        <v>340.4</v>
      </c>
      <c r="H858" s="613"/>
      <c r="I858" s="614">
        <f>ROUND(F858*G858,2)</f>
        <v>340.4</v>
      </c>
      <c r="J858" s="614"/>
      <c r="K858" s="614">
        <f t="shared" ref="K858:K860" si="182">I858+J858</f>
        <v>340.4</v>
      </c>
      <c r="L858" s="614"/>
      <c r="M858" s="614"/>
      <c r="N858" s="614"/>
      <c r="O858" s="614"/>
      <c r="P858" s="614"/>
    </row>
    <row r="859" spans="1:16" x14ac:dyDescent="0.25">
      <c r="A859" s="611" t="s">
        <v>277</v>
      </c>
      <c r="B859" s="611">
        <v>2439</v>
      </c>
      <c r="C859" s="611"/>
      <c r="D859" s="612" t="s">
        <v>878</v>
      </c>
      <c r="E859" s="611" t="s">
        <v>229</v>
      </c>
      <c r="F859" s="613">
        <v>8</v>
      </c>
      <c r="G859" s="614">
        <v>16.2</v>
      </c>
      <c r="H859" s="613"/>
      <c r="I859" s="614"/>
      <c r="J859" s="614">
        <f>ROUND(F859*G859,2)</f>
        <v>129.6</v>
      </c>
      <c r="K859" s="614">
        <f t="shared" si="182"/>
        <v>129.6</v>
      </c>
      <c r="L859" s="614"/>
      <c r="M859" s="614"/>
      <c r="N859" s="614"/>
      <c r="O859" s="614"/>
      <c r="P859" s="614"/>
    </row>
    <row r="860" spans="1:16" x14ac:dyDescent="0.25">
      <c r="A860" s="611" t="s">
        <v>277</v>
      </c>
      <c r="B860" s="611">
        <v>247</v>
      </c>
      <c r="C860" s="611"/>
      <c r="D860" s="612" t="s">
        <v>1070</v>
      </c>
      <c r="E860" s="611" t="s">
        <v>229</v>
      </c>
      <c r="F860" s="613">
        <v>8</v>
      </c>
      <c r="G860" s="614">
        <v>9.65</v>
      </c>
      <c r="H860" s="613"/>
      <c r="I860" s="614"/>
      <c r="J860" s="614">
        <f>ROUND(F860*G860,2)</f>
        <v>77.2</v>
      </c>
      <c r="K860" s="614">
        <f t="shared" si="182"/>
        <v>77.2</v>
      </c>
      <c r="L860" s="614"/>
      <c r="M860" s="614"/>
      <c r="N860" s="614"/>
      <c r="O860" s="614"/>
      <c r="P860" s="614"/>
    </row>
    <row r="861" spans="1:16" x14ac:dyDescent="0.25">
      <c r="A861" s="619"/>
      <c r="B861" s="619"/>
      <c r="C861" s="619" t="s">
        <v>1642</v>
      </c>
      <c r="D861" s="620" t="s">
        <v>1643</v>
      </c>
      <c r="E861" s="619" t="s">
        <v>251</v>
      </c>
      <c r="F861" s="621"/>
      <c r="G861" s="622"/>
      <c r="H861" s="621">
        <v>7</v>
      </c>
      <c r="I861" s="622">
        <f>SUM(I862:I864)</f>
        <v>36</v>
      </c>
      <c r="J861" s="622">
        <f>SUM(J862:J864)</f>
        <v>18.100000000000001</v>
      </c>
      <c r="K861" s="622">
        <f>I861+J861</f>
        <v>54.1</v>
      </c>
      <c r="L861" s="622">
        <f>H861*I861</f>
        <v>252</v>
      </c>
      <c r="M861" s="622">
        <f>H861*J861</f>
        <v>126.70000000000002</v>
      </c>
      <c r="N861" s="622">
        <f>L861+M861</f>
        <v>378.70000000000005</v>
      </c>
      <c r="O861" s="622">
        <f>N861*$P$4</f>
        <v>93.008720000000011</v>
      </c>
      <c r="P861" s="622">
        <f>N861+O861</f>
        <v>471.70872000000008</v>
      </c>
    </row>
    <row r="862" spans="1:16" ht="36" x14ac:dyDescent="0.25">
      <c r="A862" s="611" t="s">
        <v>1108</v>
      </c>
      <c r="B862" s="624" t="s">
        <v>1640</v>
      </c>
      <c r="C862" s="611"/>
      <c r="D862" s="612" t="s">
        <v>1644</v>
      </c>
      <c r="E862" s="611" t="s">
        <v>251</v>
      </c>
      <c r="F862" s="613">
        <v>1</v>
      </c>
      <c r="G862" s="623">
        <v>36</v>
      </c>
      <c r="H862" s="613"/>
      <c r="I862" s="614">
        <f>ROUND(F862*G862,2)</f>
        <v>36</v>
      </c>
      <c r="J862" s="614"/>
      <c r="K862" s="614">
        <f t="shared" ref="K862:K864" si="183">I862+J862</f>
        <v>36</v>
      </c>
      <c r="L862" s="614"/>
      <c r="M862" s="614"/>
      <c r="N862" s="614"/>
      <c r="O862" s="614"/>
      <c r="P862" s="614"/>
    </row>
    <row r="863" spans="1:16" x14ac:dyDescent="0.25">
      <c r="A863" s="611" t="s">
        <v>277</v>
      </c>
      <c r="B863" s="611">
        <v>2439</v>
      </c>
      <c r="C863" s="611"/>
      <c r="D863" s="612" t="s">
        <v>878</v>
      </c>
      <c r="E863" s="611" t="s">
        <v>229</v>
      </c>
      <c r="F863" s="613">
        <v>0.7</v>
      </c>
      <c r="G863" s="614">
        <v>16.2</v>
      </c>
      <c r="H863" s="613"/>
      <c r="I863" s="614"/>
      <c r="J863" s="614">
        <f>ROUND(F863*G863,2)</f>
        <v>11.34</v>
      </c>
      <c r="K863" s="614">
        <f t="shared" si="183"/>
        <v>11.34</v>
      </c>
      <c r="L863" s="614"/>
      <c r="M863" s="614"/>
      <c r="N863" s="614"/>
      <c r="O863" s="614"/>
      <c r="P863" s="614"/>
    </row>
    <row r="864" spans="1:16" x14ac:dyDescent="0.25">
      <c r="A864" s="611" t="s">
        <v>277</v>
      </c>
      <c r="B864" s="611">
        <v>247</v>
      </c>
      <c r="C864" s="611"/>
      <c r="D864" s="612" t="s">
        <v>1070</v>
      </c>
      <c r="E864" s="611" t="s">
        <v>229</v>
      </c>
      <c r="F864" s="613">
        <v>0.7</v>
      </c>
      <c r="G864" s="614">
        <v>9.65</v>
      </c>
      <c r="H864" s="613"/>
      <c r="I864" s="614"/>
      <c r="J864" s="614">
        <f>ROUND(F864*G864,2)</f>
        <v>6.76</v>
      </c>
      <c r="K864" s="614">
        <f t="shared" si="183"/>
        <v>6.76</v>
      </c>
      <c r="L864" s="614"/>
      <c r="M864" s="614"/>
      <c r="N864" s="614"/>
      <c r="O864" s="614"/>
      <c r="P864" s="614"/>
    </row>
    <row r="865" spans="1:16" x14ac:dyDescent="0.25">
      <c r="A865" s="619"/>
      <c r="B865" s="619"/>
      <c r="C865" s="619" t="s">
        <v>1645</v>
      </c>
      <c r="D865" s="620" t="s">
        <v>1646</v>
      </c>
      <c r="E865" s="619" t="s">
        <v>251</v>
      </c>
      <c r="F865" s="621"/>
      <c r="G865" s="622"/>
      <c r="H865" s="621">
        <v>6</v>
      </c>
      <c r="I865" s="622">
        <f>SUM(I866:I868)</f>
        <v>33</v>
      </c>
      <c r="J865" s="622">
        <f>SUM(J866:J868)</f>
        <v>18.100000000000001</v>
      </c>
      <c r="K865" s="622">
        <f>I865+J865</f>
        <v>51.1</v>
      </c>
      <c r="L865" s="622">
        <f>H865*I865</f>
        <v>198</v>
      </c>
      <c r="M865" s="622">
        <f>H865*J865</f>
        <v>108.60000000000001</v>
      </c>
      <c r="N865" s="622">
        <f>L865+M865</f>
        <v>306.60000000000002</v>
      </c>
      <c r="O865" s="622">
        <f>N865*$P$4</f>
        <v>75.300960000000003</v>
      </c>
      <c r="P865" s="622">
        <f>N865+O865</f>
        <v>381.90096000000005</v>
      </c>
    </row>
    <row r="866" spans="1:16" ht="48" x14ac:dyDescent="0.25">
      <c r="A866" s="611" t="s">
        <v>1108</v>
      </c>
      <c r="B866" s="624" t="s">
        <v>1640</v>
      </c>
      <c r="C866" s="611"/>
      <c r="D866" s="612" t="s">
        <v>1647</v>
      </c>
      <c r="E866" s="611" t="s">
        <v>251</v>
      </c>
      <c r="F866" s="613">
        <v>1</v>
      </c>
      <c r="G866" s="623">
        <v>33</v>
      </c>
      <c r="H866" s="613"/>
      <c r="I866" s="614">
        <f>ROUND(F866*G866,2)</f>
        <v>33</v>
      </c>
      <c r="J866" s="614"/>
      <c r="K866" s="614">
        <f t="shared" ref="K866:K868" si="184">I866+J866</f>
        <v>33</v>
      </c>
      <c r="L866" s="614"/>
      <c r="M866" s="614"/>
      <c r="N866" s="614"/>
      <c r="O866" s="614"/>
      <c r="P866" s="614"/>
    </row>
    <row r="867" spans="1:16" x14ac:dyDescent="0.25">
      <c r="A867" s="611" t="s">
        <v>277</v>
      </c>
      <c r="B867" s="611">
        <v>2439</v>
      </c>
      <c r="C867" s="611"/>
      <c r="D867" s="612" t="s">
        <v>878</v>
      </c>
      <c r="E867" s="611" t="s">
        <v>229</v>
      </c>
      <c r="F867" s="613">
        <v>0.7</v>
      </c>
      <c r="G867" s="614">
        <v>16.2</v>
      </c>
      <c r="H867" s="613"/>
      <c r="I867" s="614"/>
      <c r="J867" s="614">
        <f>ROUND(F867*G867,2)</f>
        <v>11.34</v>
      </c>
      <c r="K867" s="614">
        <f t="shared" si="184"/>
        <v>11.34</v>
      </c>
      <c r="L867" s="614"/>
      <c r="M867" s="614"/>
      <c r="N867" s="614"/>
      <c r="O867" s="614"/>
      <c r="P867" s="614"/>
    </row>
    <row r="868" spans="1:16" x14ac:dyDescent="0.25">
      <c r="A868" s="611" t="s">
        <v>277</v>
      </c>
      <c r="B868" s="611">
        <v>247</v>
      </c>
      <c r="C868" s="611"/>
      <c r="D868" s="612" t="s">
        <v>1070</v>
      </c>
      <c r="E868" s="611" t="s">
        <v>229</v>
      </c>
      <c r="F868" s="613">
        <v>0.7</v>
      </c>
      <c r="G868" s="614">
        <v>9.65</v>
      </c>
      <c r="H868" s="613"/>
      <c r="I868" s="614"/>
      <c r="J868" s="614">
        <f>ROUND(F868*G868,2)</f>
        <v>6.76</v>
      </c>
      <c r="K868" s="614">
        <f t="shared" si="184"/>
        <v>6.76</v>
      </c>
      <c r="L868" s="614"/>
      <c r="M868" s="614"/>
      <c r="N868" s="614"/>
      <c r="O868" s="614"/>
      <c r="P868" s="614"/>
    </row>
    <row r="869" spans="1:16" x14ac:dyDescent="0.25">
      <c r="A869" s="619"/>
      <c r="B869" s="619"/>
      <c r="C869" s="619" t="s">
        <v>1648</v>
      </c>
      <c r="D869" s="620" t="s">
        <v>1649</v>
      </c>
      <c r="E869" s="619" t="s">
        <v>251</v>
      </c>
      <c r="F869" s="621"/>
      <c r="G869" s="622"/>
      <c r="H869" s="621">
        <v>7</v>
      </c>
      <c r="I869" s="622">
        <f>SUM(I870:I872)</f>
        <v>64</v>
      </c>
      <c r="J869" s="622">
        <f>SUM(J870:J872)</f>
        <v>18.100000000000001</v>
      </c>
      <c r="K869" s="622">
        <f>I869+J869</f>
        <v>82.1</v>
      </c>
      <c r="L869" s="622">
        <f>H869*I869</f>
        <v>448</v>
      </c>
      <c r="M869" s="622">
        <f>H869*J869</f>
        <v>126.70000000000002</v>
      </c>
      <c r="N869" s="622">
        <f>L869+M869</f>
        <v>574.70000000000005</v>
      </c>
      <c r="O869" s="622">
        <f>N869*$P$4</f>
        <v>141.14632000000003</v>
      </c>
      <c r="P869" s="622">
        <f>N869+O869</f>
        <v>715.84632000000011</v>
      </c>
    </row>
    <row r="870" spans="1:16" ht="36" x14ac:dyDescent="0.25">
      <c r="A870" s="611" t="s">
        <v>1108</v>
      </c>
      <c r="B870" s="624" t="s">
        <v>1640</v>
      </c>
      <c r="C870" s="611"/>
      <c r="D870" s="612" t="s">
        <v>1650</v>
      </c>
      <c r="E870" s="611" t="s">
        <v>251</v>
      </c>
      <c r="F870" s="613">
        <v>1</v>
      </c>
      <c r="G870" s="623">
        <v>64</v>
      </c>
      <c r="H870" s="613"/>
      <c r="I870" s="614">
        <f>ROUND(F870*G870,2)</f>
        <v>64</v>
      </c>
      <c r="J870" s="614"/>
      <c r="K870" s="614">
        <f t="shared" ref="K870:K872" si="185">I870+J870</f>
        <v>64</v>
      </c>
      <c r="L870" s="614"/>
      <c r="M870" s="614"/>
      <c r="N870" s="614"/>
      <c r="O870" s="614"/>
      <c r="P870" s="614"/>
    </row>
    <row r="871" spans="1:16" x14ac:dyDescent="0.25">
      <c r="A871" s="611" t="s">
        <v>277</v>
      </c>
      <c r="B871" s="611">
        <v>2439</v>
      </c>
      <c r="C871" s="611"/>
      <c r="D871" s="612" t="s">
        <v>878</v>
      </c>
      <c r="E871" s="611" t="s">
        <v>229</v>
      </c>
      <c r="F871" s="613">
        <v>0.7</v>
      </c>
      <c r="G871" s="614">
        <v>16.2</v>
      </c>
      <c r="H871" s="613"/>
      <c r="I871" s="614"/>
      <c r="J871" s="614">
        <f>ROUND(F871*G871,2)</f>
        <v>11.34</v>
      </c>
      <c r="K871" s="614">
        <f t="shared" si="185"/>
        <v>11.34</v>
      </c>
      <c r="L871" s="614"/>
      <c r="M871" s="614"/>
      <c r="N871" s="614"/>
      <c r="O871" s="614"/>
      <c r="P871" s="614"/>
    </row>
    <row r="872" spans="1:16" x14ac:dyDescent="0.25">
      <c r="A872" s="611" t="s">
        <v>277</v>
      </c>
      <c r="B872" s="611">
        <v>247</v>
      </c>
      <c r="C872" s="611"/>
      <c r="D872" s="612" t="s">
        <v>1070</v>
      </c>
      <c r="E872" s="611" t="s">
        <v>229</v>
      </c>
      <c r="F872" s="613">
        <v>0.7</v>
      </c>
      <c r="G872" s="614">
        <v>9.65</v>
      </c>
      <c r="H872" s="613"/>
      <c r="I872" s="614"/>
      <c r="J872" s="614">
        <f>ROUND(F872*G872,2)</f>
        <v>6.76</v>
      </c>
      <c r="K872" s="614">
        <f t="shared" si="185"/>
        <v>6.76</v>
      </c>
      <c r="L872" s="614"/>
      <c r="M872" s="614"/>
      <c r="N872" s="614"/>
      <c r="O872" s="614"/>
      <c r="P872" s="614"/>
    </row>
    <row r="873" spans="1:16" x14ac:dyDescent="0.25">
      <c r="A873" s="611"/>
      <c r="B873" s="611"/>
      <c r="C873" s="611"/>
      <c r="D873" s="612"/>
      <c r="E873" s="611"/>
      <c r="F873" s="613"/>
      <c r="G873" s="614"/>
      <c r="H873" s="613"/>
      <c r="I873" s="614"/>
      <c r="J873" s="614"/>
      <c r="K873" s="614"/>
      <c r="L873" s="614"/>
      <c r="M873" s="614"/>
      <c r="N873" s="614"/>
      <c r="O873" s="614"/>
      <c r="P873" s="614"/>
    </row>
    <row r="874" spans="1:16" x14ac:dyDescent="0.25">
      <c r="A874" s="619"/>
      <c r="B874" s="619"/>
      <c r="C874" s="615" t="s">
        <v>1651</v>
      </c>
      <c r="D874" s="628" t="s">
        <v>1652</v>
      </c>
      <c r="E874" s="619"/>
      <c r="F874" s="621"/>
      <c r="G874" s="622"/>
      <c r="H874" s="621"/>
      <c r="I874" s="622"/>
      <c r="J874" s="622"/>
      <c r="K874" s="622"/>
      <c r="L874" s="622"/>
      <c r="M874" s="622"/>
      <c r="N874" s="622"/>
      <c r="O874" s="622"/>
      <c r="P874" s="617">
        <f>P876</f>
        <v>635.06916000000001</v>
      </c>
    </row>
    <row r="875" spans="1:16" x14ac:dyDescent="0.25">
      <c r="A875" s="611"/>
      <c r="B875" s="611"/>
      <c r="C875" s="611"/>
      <c r="D875" s="612"/>
      <c r="E875" s="611"/>
      <c r="F875" s="613"/>
      <c r="G875" s="614"/>
      <c r="H875" s="613"/>
      <c r="I875" s="614"/>
      <c r="J875" s="614"/>
      <c r="K875" s="614"/>
      <c r="L875" s="614"/>
      <c r="M875" s="614"/>
      <c r="N875" s="614"/>
      <c r="O875" s="614"/>
      <c r="P875" s="614"/>
    </row>
    <row r="876" spans="1:16" x14ac:dyDescent="0.25">
      <c r="A876" s="619"/>
      <c r="B876" s="619"/>
      <c r="C876" s="619" t="s">
        <v>1653</v>
      </c>
      <c r="D876" s="620" t="s">
        <v>1654</v>
      </c>
      <c r="E876" s="619"/>
      <c r="F876" s="621"/>
      <c r="G876" s="622"/>
      <c r="H876" s="621">
        <v>1</v>
      </c>
      <c r="I876" s="622">
        <f>SUM(I877:I888)</f>
        <v>432.29999999999995</v>
      </c>
      <c r="J876" s="622">
        <f>SUM(J877:J888)</f>
        <v>77.55</v>
      </c>
      <c r="K876" s="622">
        <f>I876+J876</f>
        <v>509.84999999999997</v>
      </c>
      <c r="L876" s="622">
        <f>H876*I876</f>
        <v>432.29999999999995</v>
      </c>
      <c r="M876" s="622">
        <f>H876*J876</f>
        <v>77.55</v>
      </c>
      <c r="N876" s="622">
        <f>L876+M876</f>
        <v>509.84999999999997</v>
      </c>
      <c r="O876" s="622">
        <f>N876*$P$4</f>
        <v>125.21916</v>
      </c>
      <c r="P876" s="622">
        <f>N876+O876</f>
        <v>635.06916000000001</v>
      </c>
    </row>
    <row r="877" spans="1:16" ht="48" x14ac:dyDescent="0.25">
      <c r="A877" s="611" t="s">
        <v>1108</v>
      </c>
      <c r="B877" s="611" t="s">
        <v>1578</v>
      </c>
      <c r="C877" s="611"/>
      <c r="D877" s="612" t="s">
        <v>1579</v>
      </c>
      <c r="E877" s="611" t="s">
        <v>251</v>
      </c>
      <c r="F877" s="613">
        <v>1</v>
      </c>
      <c r="G877" s="614">
        <v>171</v>
      </c>
      <c r="H877" s="613"/>
      <c r="I877" s="614">
        <f>ROUND(F877*G877,2)</f>
        <v>171</v>
      </c>
      <c r="J877" s="614"/>
      <c r="K877" s="614">
        <f t="shared" ref="K877:K888" si="186">I877+J877</f>
        <v>171</v>
      </c>
      <c r="L877" s="614"/>
      <c r="M877" s="614"/>
      <c r="N877" s="614"/>
      <c r="O877" s="614"/>
      <c r="P877" s="614"/>
    </row>
    <row r="878" spans="1:16" x14ac:dyDescent="0.25">
      <c r="A878" s="611" t="s">
        <v>277</v>
      </c>
      <c r="B878" s="611">
        <v>34709</v>
      </c>
      <c r="C878" s="611"/>
      <c r="D878" s="612" t="s">
        <v>1655</v>
      </c>
      <c r="E878" s="611" t="s">
        <v>251</v>
      </c>
      <c r="F878" s="613">
        <v>1</v>
      </c>
      <c r="G878" s="614">
        <v>43.54</v>
      </c>
      <c r="H878" s="613"/>
      <c r="I878" s="614">
        <f t="shared" ref="I878:I885" si="187">ROUND(F878*G878,2)</f>
        <v>43.54</v>
      </c>
      <c r="J878" s="614"/>
      <c r="K878" s="614">
        <f t="shared" si="186"/>
        <v>43.54</v>
      </c>
      <c r="L878" s="614"/>
      <c r="M878" s="614"/>
      <c r="N878" s="614"/>
      <c r="O878" s="614"/>
      <c r="P878" s="614"/>
    </row>
    <row r="879" spans="1:16" x14ac:dyDescent="0.25">
      <c r="A879" s="611" t="s">
        <v>277</v>
      </c>
      <c r="B879" s="611">
        <v>34653</v>
      </c>
      <c r="C879" s="611"/>
      <c r="D879" s="612" t="s">
        <v>1656</v>
      </c>
      <c r="E879" s="611" t="s">
        <v>251</v>
      </c>
      <c r="F879" s="613">
        <v>2</v>
      </c>
      <c r="G879" s="614">
        <v>6.2</v>
      </c>
      <c r="H879" s="613"/>
      <c r="I879" s="614">
        <f t="shared" si="187"/>
        <v>12.4</v>
      </c>
      <c r="J879" s="614"/>
      <c r="K879" s="614">
        <f t="shared" si="186"/>
        <v>12.4</v>
      </c>
      <c r="L879" s="614"/>
      <c r="M879" s="614"/>
      <c r="N879" s="614"/>
      <c r="O879" s="614"/>
      <c r="P879" s="614"/>
    </row>
    <row r="880" spans="1:16" ht="24" x14ac:dyDescent="0.25">
      <c r="A880" s="611" t="s">
        <v>1108</v>
      </c>
      <c r="B880" s="611" t="s">
        <v>1580</v>
      </c>
      <c r="C880" s="611"/>
      <c r="D880" s="612" t="s">
        <v>1581</v>
      </c>
      <c r="E880" s="611" t="s">
        <v>251</v>
      </c>
      <c r="F880" s="613">
        <v>0.7</v>
      </c>
      <c r="G880" s="614">
        <v>14.45</v>
      </c>
      <c r="H880" s="613"/>
      <c r="I880" s="614">
        <f t="shared" si="187"/>
        <v>10.119999999999999</v>
      </c>
      <c r="J880" s="614"/>
      <c r="K880" s="614">
        <f t="shared" si="186"/>
        <v>10.119999999999999</v>
      </c>
      <c r="L880" s="614"/>
      <c r="M880" s="614"/>
      <c r="N880" s="614"/>
      <c r="O880" s="614"/>
      <c r="P880" s="614"/>
    </row>
    <row r="881" spans="1:256" ht="36" x14ac:dyDescent="0.25">
      <c r="A881" s="611" t="s">
        <v>277</v>
      </c>
      <c r="B881" s="611">
        <v>1619</v>
      </c>
      <c r="C881" s="611"/>
      <c r="D881" s="612" t="s">
        <v>1657</v>
      </c>
      <c r="E881" s="611" t="s">
        <v>251</v>
      </c>
      <c r="F881" s="613">
        <v>1</v>
      </c>
      <c r="G881" s="614">
        <v>128.56</v>
      </c>
      <c r="H881" s="613"/>
      <c r="I881" s="614">
        <f t="shared" si="187"/>
        <v>128.56</v>
      </c>
      <c r="J881" s="614"/>
      <c r="K881" s="614">
        <f t="shared" si="186"/>
        <v>128.56</v>
      </c>
      <c r="L881" s="614"/>
      <c r="M881" s="614"/>
      <c r="N881" s="614"/>
      <c r="O881" s="614"/>
      <c r="P881" s="614"/>
    </row>
    <row r="882" spans="1:256" x14ac:dyDescent="0.25">
      <c r="A882" s="611" t="s">
        <v>1108</v>
      </c>
      <c r="B882" s="611" t="s">
        <v>1587</v>
      </c>
      <c r="C882" s="611"/>
      <c r="D882" s="612" t="s">
        <v>1588</v>
      </c>
      <c r="E882" s="611" t="s">
        <v>251</v>
      </c>
      <c r="F882" s="613">
        <v>1</v>
      </c>
      <c r="G882" s="614">
        <v>18.71</v>
      </c>
      <c r="H882" s="613"/>
      <c r="I882" s="614">
        <f t="shared" si="187"/>
        <v>18.71</v>
      </c>
      <c r="J882" s="614"/>
      <c r="K882" s="614">
        <f t="shared" si="186"/>
        <v>18.71</v>
      </c>
      <c r="L882" s="614"/>
      <c r="M882" s="614"/>
      <c r="N882" s="614"/>
      <c r="O882" s="614"/>
      <c r="P882" s="614"/>
    </row>
    <row r="883" spans="1:256" x14ac:dyDescent="0.25">
      <c r="A883" s="611" t="s">
        <v>1108</v>
      </c>
      <c r="B883" s="611" t="s">
        <v>1587</v>
      </c>
      <c r="C883" s="611"/>
      <c r="D883" s="612" t="s">
        <v>1589</v>
      </c>
      <c r="E883" s="611" t="s">
        <v>251</v>
      </c>
      <c r="F883" s="613">
        <v>1</v>
      </c>
      <c r="G883" s="614">
        <v>18.71</v>
      </c>
      <c r="H883" s="613"/>
      <c r="I883" s="614">
        <f t="shared" si="187"/>
        <v>18.71</v>
      </c>
      <c r="J883" s="614"/>
      <c r="K883" s="614">
        <f t="shared" si="186"/>
        <v>18.71</v>
      </c>
      <c r="L883" s="614"/>
      <c r="M883" s="614"/>
      <c r="N883" s="614"/>
      <c r="O883" s="614"/>
      <c r="P883" s="614"/>
    </row>
    <row r="884" spans="1:256" ht="24" x14ac:dyDescent="0.25">
      <c r="A884" s="611" t="s">
        <v>1108</v>
      </c>
      <c r="B884" s="611" t="s">
        <v>1590</v>
      </c>
      <c r="C884" s="611"/>
      <c r="D884" s="612" t="s">
        <v>1591</v>
      </c>
      <c r="E884" s="611" t="s">
        <v>251</v>
      </c>
      <c r="F884" s="613">
        <v>1</v>
      </c>
      <c r="G884" s="614">
        <v>4.63</v>
      </c>
      <c r="H884" s="613"/>
      <c r="I884" s="614">
        <f t="shared" si="187"/>
        <v>4.63</v>
      </c>
      <c r="J884" s="614"/>
      <c r="K884" s="614">
        <f t="shared" si="186"/>
        <v>4.63</v>
      </c>
      <c r="L884" s="614"/>
      <c r="M884" s="614"/>
      <c r="N884" s="614"/>
      <c r="O884" s="614"/>
      <c r="P884" s="614"/>
    </row>
    <row r="885" spans="1:256" ht="24" x14ac:dyDescent="0.25">
      <c r="A885" s="611" t="s">
        <v>1108</v>
      </c>
      <c r="B885" s="611" t="s">
        <v>1590</v>
      </c>
      <c r="C885" s="611"/>
      <c r="D885" s="612" t="s">
        <v>1658</v>
      </c>
      <c r="E885" s="611" t="s">
        <v>251</v>
      </c>
      <c r="F885" s="613">
        <v>1</v>
      </c>
      <c r="G885" s="614">
        <v>4.63</v>
      </c>
      <c r="H885" s="613"/>
      <c r="I885" s="614">
        <f t="shared" si="187"/>
        <v>4.63</v>
      </c>
      <c r="J885" s="614"/>
      <c r="K885" s="614">
        <f t="shared" si="186"/>
        <v>4.63</v>
      </c>
      <c r="L885" s="614"/>
      <c r="M885" s="614"/>
      <c r="N885" s="614"/>
      <c r="O885" s="614"/>
      <c r="P885" s="614"/>
    </row>
    <row r="886" spans="1:256" x14ac:dyDescent="0.25">
      <c r="A886" s="611" t="s">
        <v>1200</v>
      </c>
      <c r="B886" s="611"/>
      <c r="C886" s="611"/>
      <c r="D886" s="612" t="s">
        <v>1564</v>
      </c>
      <c r="E886" s="611" t="s">
        <v>135</v>
      </c>
      <c r="F886" s="613">
        <v>1</v>
      </c>
      <c r="G886" s="614">
        <v>20</v>
      </c>
      <c r="H886" s="613"/>
      <c r="I886" s="614">
        <f>ROUND(F886*G886,2)</f>
        <v>20</v>
      </c>
      <c r="J886" s="614"/>
      <c r="K886" s="614">
        <f t="shared" si="186"/>
        <v>20</v>
      </c>
      <c r="L886" s="614"/>
      <c r="M886" s="614"/>
      <c r="N886" s="614"/>
      <c r="O886" s="614"/>
      <c r="P886" s="614"/>
    </row>
    <row r="887" spans="1:256" x14ac:dyDescent="0.25">
      <c r="A887" s="611" t="s">
        <v>277</v>
      </c>
      <c r="B887" s="611">
        <v>2439</v>
      </c>
      <c r="C887" s="611"/>
      <c r="D887" s="612" t="s">
        <v>878</v>
      </c>
      <c r="E887" s="611" t="s">
        <v>229</v>
      </c>
      <c r="F887" s="613">
        <v>3</v>
      </c>
      <c r="G887" s="614">
        <v>16.2</v>
      </c>
      <c r="H887" s="613"/>
      <c r="I887" s="614"/>
      <c r="J887" s="614">
        <f>ROUND(F887*G887,2)</f>
        <v>48.6</v>
      </c>
      <c r="K887" s="614">
        <f t="shared" si="186"/>
        <v>48.6</v>
      </c>
      <c r="L887" s="614"/>
      <c r="M887" s="614"/>
      <c r="N887" s="614"/>
      <c r="O887" s="614"/>
      <c r="P887" s="614"/>
    </row>
    <row r="888" spans="1:256" x14ac:dyDescent="0.25">
      <c r="A888" s="611" t="s">
        <v>277</v>
      </c>
      <c r="B888" s="611">
        <v>247</v>
      </c>
      <c r="C888" s="611"/>
      <c r="D888" s="612" t="s">
        <v>1070</v>
      </c>
      <c r="E888" s="611" t="s">
        <v>229</v>
      </c>
      <c r="F888" s="613">
        <v>3</v>
      </c>
      <c r="G888" s="614">
        <v>9.65</v>
      </c>
      <c r="H888" s="613"/>
      <c r="I888" s="614"/>
      <c r="J888" s="614">
        <f>ROUND(F888*G888,2)</f>
        <v>28.95</v>
      </c>
      <c r="K888" s="614">
        <f t="shared" si="186"/>
        <v>28.95</v>
      </c>
      <c r="L888" s="614"/>
      <c r="M888" s="614"/>
      <c r="N888" s="614"/>
      <c r="O888" s="614"/>
      <c r="P888" s="614"/>
    </row>
    <row r="889" spans="1:256" x14ac:dyDescent="0.25">
      <c r="A889" s="611"/>
      <c r="B889" s="611"/>
      <c r="C889" s="611"/>
      <c r="D889" s="612"/>
      <c r="E889" s="611"/>
      <c r="F889" s="613"/>
      <c r="G889" s="614"/>
      <c r="H889" s="613"/>
      <c r="I889" s="614"/>
      <c r="J889" s="614"/>
      <c r="K889" s="614"/>
      <c r="L889" s="614"/>
      <c r="M889" s="614"/>
      <c r="N889" s="614"/>
      <c r="O889" s="614"/>
      <c r="P889" s="614"/>
    </row>
    <row r="890" spans="1:256" s="642" customFormat="1" x14ac:dyDescent="0.25">
      <c r="A890" s="637"/>
      <c r="B890" s="637"/>
      <c r="C890" s="637">
        <v>21</v>
      </c>
      <c r="D890" s="638" t="s">
        <v>1659</v>
      </c>
      <c r="E890" s="637"/>
      <c r="F890" s="639"/>
      <c r="G890" s="640"/>
      <c r="H890" s="639"/>
      <c r="I890" s="639"/>
      <c r="J890" s="639"/>
      <c r="K890" s="639"/>
      <c r="L890" s="640">
        <f>SUM(L894:L1147)</f>
        <v>60897.259999999995</v>
      </c>
      <c r="M890" s="640">
        <f>SUM(M894:M1147)</f>
        <v>17022</v>
      </c>
      <c r="N890" s="640">
        <f>SUM(N894:N1147)</f>
        <v>77919.260000000009</v>
      </c>
      <c r="O890" s="640">
        <f>SUM(O894:O1147)</f>
        <v>19136.970256000004</v>
      </c>
      <c r="P890" s="640">
        <f>SUM(P892:P1147)/2</f>
        <v>97056.230255999995</v>
      </c>
      <c r="Q890" s="641"/>
      <c r="R890" s="641"/>
      <c r="S890" s="641"/>
      <c r="T890" s="641"/>
      <c r="U890" s="641"/>
      <c r="V890" s="641"/>
      <c r="W890" s="641"/>
      <c r="X890" s="641"/>
      <c r="Y890" s="641"/>
      <c r="Z890" s="641"/>
      <c r="AA890" s="641"/>
      <c r="AB890" s="641"/>
      <c r="AC890" s="641"/>
      <c r="AD890" s="641"/>
      <c r="AE890" s="641"/>
      <c r="AF890" s="641"/>
      <c r="AG890" s="641"/>
      <c r="AH890" s="641"/>
      <c r="AI890" s="641"/>
      <c r="AJ890" s="641"/>
      <c r="AK890" s="641"/>
      <c r="AL890" s="641"/>
      <c r="AM890" s="641"/>
      <c r="AN890" s="641"/>
      <c r="AO890" s="641"/>
      <c r="AP890" s="641"/>
      <c r="AQ890" s="641"/>
      <c r="AR890" s="641"/>
      <c r="AS890" s="641"/>
      <c r="AT890" s="641"/>
      <c r="AU890" s="641"/>
      <c r="AV890" s="641"/>
      <c r="AW890" s="641"/>
      <c r="AX890" s="641"/>
      <c r="AY890" s="641"/>
      <c r="AZ890" s="641"/>
      <c r="BA890" s="641"/>
      <c r="BB890" s="641"/>
      <c r="BC890" s="641"/>
      <c r="BD890" s="641"/>
      <c r="BE890" s="641"/>
      <c r="BF890" s="641"/>
      <c r="BG890" s="641"/>
      <c r="BH890" s="641"/>
      <c r="BI890" s="641"/>
      <c r="BJ890" s="641"/>
      <c r="BK890" s="641"/>
      <c r="BL890" s="641"/>
      <c r="BM890" s="641"/>
      <c r="BN890" s="641"/>
      <c r="BO890" s="641"/>
      <c r="BP890" s="641"/>
      <c r="BQ890" s="641"/>
      <c r="BR890" s="641"/>
      <c r="BS890" s="641"/>
      <c r="BT890" s="641"/>
      <c r="BU890" s="641"/>
      <c r="BV890" s="641"/>
      <c r="BW890" s="641"/>
      <c r="BX890" s="641"/>
      <c r="BY890" s="641"/>
      <c r="BZ890" s="641"/>
      <c r="CA890" s="641"/>
      <c r="CB890" s="641"/>
      <c r="CC890" s="641"/>
      <c r="CD890" s="641"/>
      <c r="CE890" s="641"/>
      <c r="CF890" s="641"/>
      <c r="CG890" s="641"/>
      <c r="CH890" s="641"/>
      <c r="CI890" s="641"/>
      <c r="CJ890" s="641"/>
      <c r="CK890" s="641"/>
      <c r="CL890" s="641"/>
      <c r="CM890" s="641"/>
      <c r="CN890" s="641"/>
      <c r="CO890" s="641"/>
      <c r="CP890" s="641"/>
      <c r="CQ890" s="641"/>
      <c r="CR890" s="641"/>
      <c r="CS890" s="641"/>
      <c r="CT890" s="641"/>
      <c r="CU890" s="641"/>
      <c r="CV890" s="641"/>
      <c r="CW890" s="641"/>
      <c r="CX890" s="641"/>
      <c r="CY890" s="641"/>
      <c r="CZ890" s="641"/>
      <c r="DA890" s="641"/>
      <c r="DB890" s="641"/>
      <c r="DC890" s="641"/>
      <c r="DD890" s="641"/>
      <c r="DE890" s="641"/>
      <c r="DF890" s="641"/>
      <c r="DG890" s="641"/>
      <c r="DH890" s="641"/>
      <c r="DI890" s="641"/>
      <c r="DJ890" s="641"/>
      <c r="DK890" s="641"/>
      <c r="DL890" s="641"/>
      <c r="DM890" s="641"/>
      <c r="DN890" s="641"/>
      <c r="DO890" s="641"/>
      <c r="DP890" s="641"/>
      <c r="DQ890" s="641"/>
      <c r="DR890" s="641"/>
      <c r="DS890" s="641"/>
      <c r="DT890" s="641"/>
      <c r="DU890" s="641"/>
      <c r="DV890" s="641"/>
      <c r="DW890" s="641"/>
      <c r="DX890" s="641"/>
      <c r="DY890" s="641"/>
      <c r="DZ890" s="641"/>
      <c r="EA890" s="641"/>
      <c r="EB890" s="641"/>
      <c r="EC890" s="641"/>
      <c r="ED890" s="641"/>
      <c r="EE890" s="641"/>
      <c r="EF890" s="641"/>
      <c r="EG890" s="641"/>
      <c r="EH890" s="641"/>
      <c r="EI890" s="641"/>
      <c r="EJ890" s="641"/>
      <c r="EK890" s="641"/>
      <c r="EL890" s="641"/>
      <c r="EM890" s="641"/>
      <c r="EN890" s="641"/>
      <c r="EO890" s="641"/>
      <c r="EP890" s="641"/>
      <c r="EQ890" s="641"/>
      <c r="ER890" s="641"/>
      <c r="ES890" s="641"/>
      <c r="ET890" s="641"/>
      <c r="EU890" s="641"/>
      <c r="EV890" s="641"/>
      <c r="EW890" s="641"/>
      <c r="EX890" s="641"/>
      <c r="EY890" s="641"/>
      <c r="EZ890" s="641"/>
      <c r="FA890" s="641"/>
      <c r="FB890" s="641"/>
      <c r="FC890" s="641"/>
      <c r="FD890" s="641"/>
      <c r="FE890" s="641"/>
      <c r="FF890" s="641"/>
      <c r="FG890" s="641"/>
      <c r="FH890" s="641"/>
      <c r="FI890" s="641"/>
      <c r="FJ890" s="641"/>
      <c r="FK890" s="641"/>
      <c r="FL890" s="641"/>
      <c r="FM890" s="641"/>
      <c r="FN890" s="641"/>
      <c r="FO890" s="641"/>
      <c r="FP890" s="641"/>
      <c r="FQ890" s="641"/>
      <c r="FR890" s="641"/>
      <c r="FS890" s="641"/>
      <c r="FT890" s="641"/>
      <c r="FU890" s="641"/>
      <c r="FV890" s="641"/>
      <c r="FW890" s="641"/>
      <c r="FX890" s="641"/>
      <c r="FY890" s="641"/>
      <c r="FZ890" s="641"/>
      <c r="GA890" s="641"/>
      <c r="GB890" s="641"/>
      <c r="GC890" s="641"/>
      <c r="GD890" s="641"/>
      <c r="GE890" s="641"/>
      <c r="GF890" s="641"/>
      <c r="GG890" s="641"/>
      <c r="GH890" s="641"/>
      <c r="GI890" s="641"/>
      <c r="GJ890" s="641"/>
      <c r="GK890" s="641"/>
      <c r="GL890" s="641"/>
      <c r="GM890" s="641"/>
      <c r="GN890" s="641"/>
      <c r="GO890" s="641"/>
      <c r="GP890" s="641"/>
      <c r="GQ890" s="641"/>
      <c r="GR890" s="641"/>
      <c r="GS890" s="641"/>
      <c r="GT890" s="641"/>
      <c r="GU890" s="641"/>
      <c r="GV890" s="641"/>
      <c r="GW890" s="641"/>
      <c r="GX890" s="641"/>
      <c r="GY890" s="641"/>
      <c r="GZ890" s="641"/>
      <c r="HA890" s="641"/>
      <c r="HB890" s="641"/>
      <c r="HC890" s="641"/>
      <c r="HD890" s="641"/>
      <c r="HE890" s="641"/>
      <c r="HF890" s="641"/>
      <c r="HG890" s="641"/>
      <c r="HH890" s="641"/>
      <c r="HI890" s="641"/>
      <c r="HJ890" s="641"/>
      <c r="HK890" s="641"/>
      <c r="HL890" s="641"/>
      <c r="HM890" s="641"/>
      <c r="HN890" s="641"/>
      <c r="HO890" s="641"/>
      <c r="HP890" s="641"/>
      <c r="HQ890" s="641"/>
      <c r="HR890" s="641"/>
      <c r="HS890" s="641"/>
      <c r="HT890" s="641"/>
      <c r="HU890" s="641"/>
      <c r="HV890" s="641"/>
      <c r="HW890" s="641"/>
      <c r="HX890" s="641"/>
      <c r="HY890" s="641"/>
      <c r="HZ890" s="641"/>
      <c r="IA890" s="641"/>
      <c r="IB890" s="641"/>
      <c r="IC890" s="641"/>
      <c r="ID890" s="641"/>
      <c r="IE890" s="641"/>
      <c r="IF890" s="641"/>
      <c r="IG890" s="641"/>
      <c r="IH890" s="641"/>
      <c r="II890" s="641"/>
      <c r="IJ890" s="641"/>
      <c r="IK890" s="641"/>
      <c r="IL890" s="641"/>
      <c r="IM890" s="641"/>
      <c r="IN890" s="641"/>
      <c r="IO890" s="641"/>
      <c r="IP890" s="641"/>
      <c r="IQ890" s="641"/>
      <c r="IR890" s="641"/>
      <c r="IS890" s="641"/>
      <c r="IT890" s="641"/>
      <c r="IU890" s="641"/>
      <c r="IV890" s="641"/>
    </row>
    <row r="891" spans="1:256" s="652" customFormat="1" ht="9.75" customHeight="1" x14ac:dyDescent="0.25">
      <c r="A891" s="643"/>
      <c r="B891" s="643"/>
      <c r="C891" s="643"/>
      <c r="D891" s="644" t="s">
        <v>1207</v>
      </c>
      <c r="E891" s="643"/>
      <c r="F891" s="645"/>
      <c r="G891" s="645"/>
      <c r="H891" s="646"/>
      <c r="I891" s="647"/>
      <c r="J891" s="648"/>
      <c r="K891" s="648"/>
      <c r="L891" s="648"/>
      <c r="M891" s="648"/>
      <c r="N891" s="648"/>
      <c r="O891" s="649"/>
      <c r="P891" s="650"/>
      <c r="Q891" s="651"/>
      <c r="R891" s="651"/>
      <c r="S891" s="651"/>
      <c r="T891" s="651"/>
      <c r="U891" s="651"/>
      <c r="V891" s="651"/>
      <c r="W891" s="651"/>
      <c r="X891" s="651"/>
      <c r="Y891" s="651"/>
      <c r="Z891" s="651"/>
      <c r="AA891" s="651"/>
      <c r="AB891" s="651"/>
      <c r="AC891" s="651"/>
      <c r="AD891" s="651"/>
      <c r="AE891" s="651"/>
      <c r="AF891" s="651"/>
      <c r="AG891" s="651"/>
      <c r="AH891" s="651"/>
      <c r="AI891" s="651"/>
      <c r="AJ891" s="651"/>
      <c r="AK891" s="651"/>
      <c r="AL891" s="651"/>
      <c r="AM891" s="651"/>
      <c r="AN891" s="651"/>
      <c r="AO891" s="651"/>
      <c r="AP891" s="651"/>
      <c r="AQ891" s="651"/>
      <c r="AR891" s="651"/>
      <c r="AS891" s="651"/>
      <c r="AT891" s="651"/>
      <c r="AU891" s="651"/>
      <c r="AV891" s="651"/>
      <c r="AW891" s="651"/>
      <c r="AX891" s="651"/>
      <c r="AY891" s="651"/>
      <c r="AZ891" s="651"/>
      <c r="BA891" s="651"/>
      <c r="BB891" s="651"/>
      <c r="BC891" s="651"/>
      <c r="BD891" s="651"/>
      <c r="BE891" s="651"/>
      <c r="BF891" s="651"/>
      <c r="BG891" s="651"/>
      <c r="BH891" s="651"/>
      <c r="BI891" s="651"/>
      <c r="BJ891" s="651"/>
      <c r="BK891" s="651"/>
      <c r="BL891" s="651"/>
      <c r="BM891" s="651"/>
      <c r="BN891" s="651"/>
      <c r="BO891" s="651"/>
      <c r="BP891" s="651"/>
      <c r="BQ891" s="651"/>
      <c r="BR891" s="651"/>
      <c r="BS891" s="651"/>
      <c r="BT891" s="651"/>
      <c r="BU891" s="651"/>
      <c r="BV891" s="651"/>
      <c r="BW891" s="651"/>
      <c r="BX891" s="651"/>
      <c r="BY891" s="651"/>
      <c r="BZ891" s="651"/>
      <c r="CA891" s="651"/>
      <c r="CB891" s="651"/>
      <c r="CC891" s="651"/>
      <c r="CD891" s="651"/>
      <c r="CE891" s="651"/>
      <c r="CF891" s="651"/>
      <c r="CG891" s="651"/>
      <c r="CH891" s="651"/>
      <c r="CI891" s="651"/>
      <c r="CJ891" s="651"/>
      <c r="CK891" s="651"/>
      <c r="CL891" s="651"/>
      <c r="CM891" s="651"/>
      <c r="CN891" s="651"/>
      <c r="CO891" s="651"/>
      <c r="CP891" s="651"/>
      <c r="CQ891" s="651"/>
      <c r="CR891" s="651"/>
      <c r="CS891" s="651"/>
      <c r="CT891" s="651"/>
      <c r="CU891" s="651"/>
      <c r="CV891" s="651"/>
      <c r="CW891" s="651"/>
      <c r="CX891" s="651"/>
      <c r="CY891" s="651"/>
      <c r="CZ891" s="651"/>
      <c r="DA891" s="651"/>
      <c r="DB891" s="651"/>
      <c r="DC891" s="651"/>
      <c r="DD891" s="651"/>
      <c r="DE891" s="651"/>
      <c r="DF891" s="651"/>
      <c r="DG891" s="651"/>
      <c r="DH891" s="651"/>
      <c r="DI891" s="651"/>
      <c r="DJ891" s="651"/>
      <c r="DK891" s="651"/>
      <c r="DL891" s="651"/>
      <c r="DM891" s="651"/>
      <c r="DN891" s="651"/>
      <c r="DO891" s="651"/>
      <c r="DP891" s="651"/>
      <c r="DQ891" s="651"/>
      <c r="DR891" s="651"/>
      <c r="DS891" s="651"/>
      <c r="DT891" s="651"/>
      <c r="DU891" s="651"/>
      <c r="DV891" s="651"/>
      <c r="DW891" s="651"/>
      <c r="DX891" s="651"/>
      <c r="DY891" s="651"/>
      <c r="DZ891" s="651"/>
      <c r="EA891" s="651"/>
      <c r="EB891" s="651"/>
      <c r="EC891" s="651"/>
      <c r="ED891" s="651"/>
      <c r="EE891" s="651"/>
      <c r="EF891" s="651"/>
      <c r="EG891" s="651"/>
      <c r="EH891" s="651"/>
      <c r="EI891" s="651"/>
      <c r="EJ891" s="651"/>
      <c r="EK891" s="651"/>
      <c r="EL891" s="651"/>
      <c r="EM891" s="651"/>
      <c r="EN891" s="651"/>
      <c r="EO891" s="651"/>
      <c r="EP891" s="651"/>
      <c r="EQ891" s="651"/>
      <c r="ER891" s="651"/>
      <c r="ES891" s="651"/>
      <c r="ET891" s="651"/>
      <c r="EU891" s="651"/>
      <c r="EV891" s="651"/>
      <c r="EW891" s="651"/>
      <c r="EX891" s="651"/>
      <c r="EY891" s="651"/>
      <c r="EZ891" s="651"/>
      <c r="FA891" s="651"/>
      <c r="FB891" s="651"/>
      <c r="FC891" s="651"/>
      <c r="FD891" s="651"/>
      <c r="FE891" s="651"/>
      <c r="FF891" s="651"/>
      <c r="FG891" s="651"/>
      <c r="FH891" s="651"/>
      <c r="FI891" s="651"/>
      <c r="FJ891" s="651"/>
      <c r="FK891" s="651"/>
      <c r="FL891" s="651"/>
      <c r="FM891" s="651"/>
      <c r="FN891" s="651"/>
      <c r="FO891" s="651"/>
      <c r="FP891" s="651"/>
      <c r="FQ891" s="651"/>
      <c r="FR891" s="651"/>
      <c r="FS891" s="651"/>
      <c r="FT891" s="651"/>
      <c r="FU891" s="651"/>
      <c r="FV891" s="651"/>
      <c r="FW891" s="651"/>
      <c r="FX891" s="651"/>
      <c r="FY891" s="651"/>
      <c r="FZ891" s="651"/>
      <c r="GA891" s="651"/>
      <c r="GB891" s="651"/>
      <c r="GC891" s="651"/>
      <c r="GD891" s="651"/>
      <c r="GE891" s="651"/>
      <c r="GF891" s="651"/>
      <c r="GG891" s="651"/>
      <c r="GH891" s="651"/>
      <c r="GI891" s="651"/>
      <c r="GJ891" s="651"/>
      <c r="GK891" s="651"/>
      <c r="GL891" s="651"/>
      <c r="GM891" s="651"/>
      <c r="GN891" s="651"/>
      <c r="GO891" s="651"/>
      <c r="GP891" s="651"/>
      <c r="GQ891" s="651"/>
      <c r="GR891" s="651"/>
      <c r="GS891" s="651"/>
      <c r="GT891" s="651"/>
      <c r="GU891" s="651"/>
      <c r="GV891" s="651"/>
      <c r="GW891" s="651"/>
      <c r="GX891" s="651"/>
      <c r="GY891" s="651"/>
      <c r="GZ891" s="651"/>
      <c r="HA891" s="651"/>
      <c r="HB891" s="651"/>
      <c r="HC891" s="651"/>
      <c r="HD891" s="651"/>
      <c r="HE891" s="651"/>
      <c r="HF891" s="651"/>
      <c r="HG891" s="651"/>
      <c r="HH891" s="651"/>
      <c r="HI891" s="651"/>
      <c r="HJ891" s="651"/>
      <c r="HK891" s="651"/>
      <c r="HL891" s="651"/>
      <c r="HM891" s="651"/>
      <c r="HN891" s="651"/>
      <c r="HO891" s="651"/>
      <c r="HP891" s="651"/>
      <c r="HQ891" s="651"/>
      <c r="HR891" s="651"/>
      <c r="HS891" s="651"/>
      <c r="HT891" s="651"/>
      <c r="HU891" s="651"/>
      <c r="HV891" s="651"/>
      <c r="HW891" s="651"/>
      <c r="HX891" s="651"/>
      <c r="HY891" s="651"/>
      <c r="HZ891" s="651"/>
      <c r="IA891" s="651"/>
      <c r="IB891" s="651"/>
      <c r="IC891" s="651"/>
      <c r="ID891" s="651"/>
      <c r="IE891" s="651"/>
      <c r="IF891" s="651"/>
      <c r="IG891" s="651"/>
      <c r="IH891" s="651"/>
      <c r="II891" s="651"/>
      <c r="IJ891" s="651"/>
      <c r="IK891" s="651"/>
      <c r="IL891" s="651"/>
      <c r="IM891" s="651"/>
      <c r="IN891" s="651"/>
      <c r="IO891" s="651"/>
      <c r="IP891" s="651"/>
      <c r="IQ891" s="651"/>
      <c r="IR891" s="651"/>
      <c r="IS891" s="651"/>
      <c r="IT891" s="651"/>
      <c r="IU891" s="651"/>
      <c r="IV891" s="651"/>
    </row>
    <row r="892" spans="1:256" s="642" customFormat="1" x14ac:dyDescent="0.25">
      <c r="A892" s="637"/>
      <c r="B892" s="637"/>
      <c r="C892" s="637" t="s">
        <v>1660</v>
      </c>
      <c r="D892" s="639" t="s">
        <v>1661</v>
      </c>
      <c r="E892" s="637"/>
      <c r="F892" s="639"/>
      <c r="G892" s="640"/>
      <c r="H892" s="639"/>
      <c r="I892" s="653"/>
      <c r="J892" s="653"/>
      <c r="K892" s="653"/>
      <c r="L892" s="654"/>
      <c r="M892" s="654"/>
      <c r="N892" s="655"/>
      <c r="O892" s="655"/>
      <c r="P892" s="655">
        <f>SUM(P894:P899)</f>
        <v>69.355007999999998</v>
      </c>
      <c r="Q892" s="656"/>
      <c r="R892" s="656"/>
      <c r="S892" s="656"/>
      <c r="T892" s="656"/>
      <c r="U892" s="656"/>
      <c r="V892" s="656"/>
      <c r="W892" s="656"/>
      <c r="X892" s="656"/>
      <c r="Y892" s="656"/>
      <c r="Z892" s="656"/>
      <c r="AA892" s="656"/>
      <c r="AB892" s="656"/>
      <c r="AC892" s="656"/>
      <c r="AD892" s="656"/>
      <c r="AE892" s="656"/>
      <c r="AF892" s="656"/>
      <c r="AG892" s="656"/>
      <c r="AH892" s="656"/>
      <c r="AI892" s="656"/>
      <c r="AJ892" s="656"/>
      <c r="AK892" s="656"/>
      <c r="AL892" s="656"/>
      <c r="AM892" s="656"/>
      <c r="AN892" s="656"/>
      <c r="AO892" s="656"/>
      <c r="AP892" s="656"/>
      <c r="AQ892" s="656"/>
      <c r="AR892" s="656"/>
      <c r="AS892" s="656"/>
      <c r="AT892" s="656"/>
      <c r="AU892" s="656"/>
      <c r="AV892" s="656"/>
      <c r="AW892" s="656"/>
      <c r="AX892" s="656"/>
      <c r="AY892" s="656"/>
      <c r="AZ892" s="656"/>
      <c r="BA892" s="656"/>
      <c r="BB892" s="656"/>
      <c r="BC892" s="656"/>
      <c r="BD892" s="656"/>
      <c r="BE892" s="656"/>
      <c r="BF892" s="656"/>
      <c r="BG892" s="656"/>
      <c r="BH892" s="656"/>
      <c r="BI892" s="656"/>
      <c r="BJ892" s="656"/>
      <c r="BK892" s="656"/>
      <c r="BL892" s="656"/>
      <c r="BM892" s="656"/>
      <c r="BN892" s="656"/>
      <c r="BO892" s="656"/>
      <c r="BP892" s="656"/>
      <c r="BQ892" s="656"/>
      <c r="BR892" s="656"/>
      <c r="BS892" s="656"/>
      <c r="BT892" s="656"/>
      <c r="BU892" s="656"/>
      <c r="BV892" s="656"/>
      <c r="BW892" s="656"/>
      <c r="BX892" s="656"/>
      <c r="BY892" s="656"/>
      <c r="BZ892" s="656"/>
      <c r="CA892" s="656"/>
      <c r="CB892" s="656"/>
      <c r="CC892" s="656"/>
      <c r="CD892" s="656"/>
      <c r="CE892" s="656"/>
      <c r="CF892" s="656"/>
      <c r="CG892" s="656"/>
      <c r="CH892" s="656"/>
      <c r="CI892" s="656"/>
      <c r="CJ892" s="656"/>
      <c r="CK892" s="656"/>
      <c r="CL892" s="656"/>
      <c r="CM892" s="656"/>
      <c r="CN892" s="656"/>
      <c r="CO892" s="656"/>
      <c r="CP892" s="656"/>
      <c r="CQ892" s="656"/>
      <c r="CR892" s="656"/>
      <c r="CS892" s="656"/>
      <c r="CT892" s="656"/>
      <c r="CU892" s="656"/>
      <c r="CV892" s="656"/>
      <c r="CW892" s="656"/>
      <c r="CX892" s="656"/>
      <c r="CY892" s="656"/>
      <c r="CZ892" s="656"/>
      <c r="DA892" s="656"/>
      <c r="DB892" s="656"/>
      <c r="DC892" s="656"/>
      <c r="DD892" s="656"/>
      <c r="DE892" s="656"/>
      <c r="DF892" s="656"/>
      <c r="DG892" s="656"/>
      <c r="DH892" s="656"/>
      <c r="DI892" s="656"/>
      <c r="DJ892" s="656"/>
      <c r="DK892" s="656"/>
      <c r="DL892" s="656"/>
      <c r="DM892" s="656"/>
      <c r="DN892" s="656"/>
      <c r="DO892" s="656"/>
      <c r="DP892" s="656"/>
      <c r="DQ892" s="656"/>
      <c r="DR892" s="656"/>
      <c r="DS892" s="656"/>
      <c r="DT892" s="656"/>
      <c r="DU892" s="656"/>
      <c r="DV892" s="656"/>
      <c r="DW892" s="656"/>
      <c r="DX892" s="656"/>
      <c r="DY892" s="656"/>
      <c r="DZ892" s="656"/>
      <c r="EA892" s="656"/>
      <c r="EB892" s="656"/>
      <c r="EC892" s="656"/>
      <c r="ED892" s="656"/>
      <c r="EE892" s="656"/>
      <c r="EF892" s="656"/>
      <c r="EG892" s="656"/>
      <c r="EH892" s="656"/>
      <c r="EI892" s="656"/>
      <c r="EJ892" s="656"/>
      <c r="EK892" s="656"/>
      <c r="EL892" s="656"/>
      <c r="EM892" s="656"/>
      <c r="EN892" s="656"/>
      <c r="EO892" s="656"/>
      <c r="EP892" s="656"/>
      <c r="EQ892" s="656"/>
      <c r="ER892" s="656"/>
      <c r="ES892" s="656"/>
      <c r="ET892" s="656"/>
      <c r="EU892" s="656"/>
      <c r="EV892" s="656"/>
      <c r="EW892" s="656"/>
      <c r="EX892" s="656"/>
      <c r="EY892" s="656"/>
      <c r="EZ892" s="656"/>
      <c r="FA892" s="656"/>
      <c r="FB892" s="656"/>
      <c r="FC892" s="656"/>
      <c r="FD892" s="656"/>
      <c r="FE892" s="656"/>
      <c r="FF892" s="656"/>
      <c r="FG892" s="656"/>
      <c r="FH892" s="656"/>
      <c r="FI892" s="656"/>
      <c r="FJ892" s="656"/>
      <c r="FK892" s="656"/>
      <c r="FL892" s="656"/>
      <c r="FM892" s="656"/>
      <c r="FN892" s="656"/>
      <c r="FO892" s="656"/>
      <c r="FP892" s="656"/>
      <c r="FQ892" s="656"/>
      <c r="FR892" s="656"/>
      <c r="FS892" s="656"/>
      <c r="FT892" s="656"/>
      <c r="FU892" s="656"/>
      <c r="FV892" s="656"/>
      <c r="FW892" s="656"/>
      <c r="FX892" s="656"/>
      <c r="FY892" s="656"/>
      <c r="FZ892" s="656"/>
      <c r="GA892" s="656"/>
      <c r="GB892" s="656"/>
      <c r="GC892" s="656"/>
      <c r="GD892" s="656"/>
      <c r="GE892" s="656"/>
      <c r="GF892" s="656"/>
      <c r="GG892" s="656"/>
      <c r="GH892" s="656"/>
      <c r="GI892" s="656"/>
      <c r="GJ892" s="656"/>
      <c r="GK892" s="656"/>
      <c r="GL892" s="656"/>
      <c r="GM892" s="656"/>
      <c r="GN892" s="656"/>
      <c r="GO892" s="656"/>
      <c r="GP892" s="656"/>
      <c r="GQ892" s="656"/>
      <c r="GR892" s="656"/>
      <c r="GS892" s="656"/>
      <c r="GT892" s="656"/>
      <c r="GU892" s="656"/>
      <c r="GV892" s="656"/>
      <c r="GW892" s="656"/>
      <c r="GX892" s="656"/>
      <c r="GY892" s="656"/>
      <c r="GZ892" s="656"/>
      <c r="HA892" s="656"/>
      <c r="HB892" s="656"/>
      <c r="HC892" s="656"/>
      <c r="HD892" s="656"/>
      <c r="HE892" s="656"/>
      <c r="HF892" s="656"/>
      <c r="HG892" s="656"/>
      <c r="HH892" s="656"/>
      <c r="HI892" s="656"/>
      <c r="HJ892" s="656"/>
      <c r="HK892" s="656"/>
      <c r="HL892" s="656"/>
      <c r="HM892" s="656"/>
      <c r="HN892" s="656"/>
      <c r="HO892" s="656"/>
      <c r="HP892" s="656"/>
      <c r="HQ892" s="656"/>
      <c r="HR892" s="656"/>
      <c r="HS892" s="656"/>
      <c r="HT892" s="656"/>
      <c r="HU892" s="656"/>
      <c r="HV892" s="656"/>
      <c r="HW892" s="656"/>
      <c r="HX892" s="656"/>
      <c r="HY892" s="656"/>
      <c r="HZ892" s="656"/>
      <c r="IA892" s="656"/>
      <c r="IB892" s="656"/>
      <c r="IC892" s="656"/>
      <c r="ID892" s="656"/>
      <c r="IE892" s="656"/>
      <c r="IF892" s="656"/>
      <c r="IG892" s="656"/>
      <c r="IH892" s="656"/>
      <c r="II892" s="656"/>
      <c r="IJ892" s="656"/>
      <c r="IK892" s="656"/>
      <c r="IL892" s="656"/>
      <c r="IM892" s="656"/>
      <c r="IN892" s="656"/>
      <c r="IO892" s="656"/>
      <c r="IP892" s="656"/>
      <c r="IQ892" s="656"/>
      <c r="IR892" s="656"/>
      <c r="IS892" s="656"/>
      <c r="IT892" s="656"/>
      <c r="IU892" s="656"/>
      <c r="IV892" s="656"/>
    </row>
    <row r="893" spans="1:256" s="642" customFormat="1" ht="9" customHeight="1" x14ac:dyDescent="0.25">
      <c r="A893" s="657"/>
      <c r="B893" s="657"/>
      <c r="C893" s="657"/>
      <c r="D893" s="658"/>
      <c r="E893" s="659"/>
      <c r="F893" s="660"/>
      <c r="G893" s="661"/>
      <c r="H893" s="660"/>
      <c r="I893" s="660"/>
      <c r="J893" s="660"/>
      <c r="K893" s="660"/>
      <c r="L893" s="660"/>
      <c r="M893" s="660"/>
      <c r="N893" s="660"/>
      <c r="O893" s="660"/>
      <c r="P893" s="660"/>
      <c r="Q893" s="656"/>
      <c r="R893" s="656"/>
      <c r="S893" s="656"/>
      <c r="T893" s="656"/>
      <c r="U893" s="656"/>
      <c r="V893" s="656"/>
      <c r="W893" s="656"/>
      <c r="X893" s="656"/>
      <c r="Y893" s="656"/>
      <c r="Z893" s="656"/>
      <c r="AA893" s="656"/>
      <c r="AB893" s="656"/>
      <c r="AC893" s="656"/>
      <c r="AD893" s="656"/>
      <c r="AE893" s="656"/>
      <c r="AF893" s="656"/>
      <c r="AG893" s="656"/>
      <c r="AH893" s="656"/>
      <c r="AI893" s="656"/>
      <c r="AJ893" s="656"/>
      <c r="AK893" s="656"/>
      <c r="AL893" s="656"/>
      <c r="AM893" s="656"/>
      <c r="AN893" s="656"/>
      <c r="AO893" s="656"/>
      <c r="AP893" s="656"/>
      <c r="AQ893" s="656"/>
      <c r="AR893" s="656"/>
      <c r="AS893" s="656"/>
      <c r="AT893" s="656"/>
      <c r="AU893" s="656"/>
      <c r="AV893" s="656"/>
      <c r="AW893" s="656"/>
      <c r="AX893" s="656"/>
      <c r="AY893" s="656"/>
      <c r="AZ893" s="656"/>
      <c r="BA893" s="656"/>
      <c r="BB893" s="656"/>
      <c r="BC893" s="656"/>
      <c r="BD893" s="656"/>
      <c r="BE893" s="656"/>
      <c r="BF893" s="656"/>
      <c r="BG893" s="656"/>
      <c r="BH893" s="656"/>
      <c r="BI893" s="656"/>
      <c r="BJ893" s="656"/>
      <c r="BK893" s="656"/>
      <c r="BL893" s="656"/>
      <c r="BM893" s="656"/>
      <c r="BN893" s="656"/>
      <c r="BO893" s="656"/>
      <c r="BP893" s="656"/>
      <c r="BQ893" s="656"/>
      <c r="BR893" s="656"/>
      <c r="BS893" s="656"/>
      <c r="BT893" s="656"/>
      <c r="BU893" s="656"/>
      <c r="BV893" s="656"/>
      <c r="BW893" s="656"/>
      <c r="BX893" s="656"/>
      <c r="BY893" s="656"/>
      <c r="BZ893" s="656"/>
      <c r="CA893" s="656"/>
      <c r="CB893" s="656"/>
      <c r="CC893" s="656"/>
      <c r="CD893" s="656"/>
      <c r="CE893" s="656"/>
      <c r="CF893" s="656"/>
      <c r="CG893" s="656"/>
      <c r="CH893" s="656"/>
      <c r="CI893" s="656"/>
      <c r="CJ893" s="656"/>
      <c r="CK893" s="656"/>
      <c r="CL893" s="656"/>
      <c r="CM893" s="656"/>
      <c r="CN893" s="656"/>
      <c r="CO893" s="656"/>
      <c r="CP893" s="656"/>
      <c r="CQ893" s="656"/>
      <c r="CR893" s="656"/>
      <c r="CS893" s="656"/>
      <c r="CT893" s="656"/>
      <c r="CU893" s="656"/>
      <c r="CV893" s="656"/>
      <c r="CW893" s="656"/>
      <c r="CX893" s="656"/>
      <c r="CY893" s="656"/>
      <c r="CZ893" s="656"/>
      <c r="DA893" s="656"/>
      <c r="DB893" s="656"/>
      <c r="DC893" s="656"/>
      <c r="DD893" s="656"/>
      <c r="DE893" s="656"/>
      <c r="DF893" s="656"/>
      <c r="DG893" s="656"/>
      <c r="DH893" s="656"/>
      <c r="DI893" s="656"/>
      <c r="DJ893" s="656"/>
      <c r="DK893" s="656"/>
      <c r="DL893" s="656"/>
      <c r="DM893" s="656"/>
      <c r="DN893" s="656"/>
      <c r="DO893" s="656"/>
      <c r="DP893" s="656"/>
      <c r="DQ893" s="656"/>
      <c r="DR893" s="656"/>
      <c r="DS893" s="656"/>
      <c r="DT893" s="656"/>
      <c r="DU893" s="656"/>
      <c r="DV893" s="656"/>
      <c r="DW893" s="656"/>
      <c r="DX893" s="656"/>
      <c r="DY893" s="656"/>
      <c r="DZ893" s="656"/>
      <c r="EA893" s="656"/>
      <c r="EB893" s="656"/>
      <c r="EC893" s="656"/>
      <c r="ED893" s="656"/>
      <c r="EE893" s="656"/>
      <c r="EF893" s="656"/>
      <c r="EG893" s="656"/>
      <c r="EH893" s="656"/>
      <c r="EI893" s="656"/>
      <c r="EJ893" s="656"/>
      <c r="EK893" s="656"/>
      <c r="EL893" s="656"/>
      <c r="EM893" s="656"/>
      <c r="EN893" s="656"/>
      <c r="EO893" s="656"/>
      <c r="EP893" s="656"/>
      <c r="EQ893" s="656"/>
      <c r="ER893" s="656"/>
      <c r="ES893" s="656"/>
      <c r="ET893" s="656"/>
      <c r="EU893" s="656"/>
      <c r="EV893" s="656"/>
      <c r="EW893" s="656"/>
      <c r="EX893" s="656"/>
      <c r="EY893" s="656"/>
      <c r="EZ893" s="656"/>
      <c r="FA893" s="656"/>
      <c r="FB893" s="656"/>
      <c r="FC893" s="656"/>
      <c r="FD893" s="656"/>
      <c r="FE893" s="656"/>
      <c r="FF893" s="656"/>
      <c r="FG893" s="656"/>
      <c r="FH893" s="656"/>
      <c r="FI893" s="656"/>
      <c r="FJ893" s="656"/>
      <c r="FK893" s="656"/>
      <c r="FL893" s="656"/>
      <c r="FM893" s="656"/>
      <c r="FN893" s="656"/>
      <c r="FO893" s="656"/>
      <c r="FP893" s="656"/>
      <c r="FQ893" s="656"/>
      <c r="FR893" s="656"/>
      <c r="FS893" s="656"/>
      <c r="FT893" s="656"/>
      <c r="FU893" s="656"/>
      <c r="FV893" s="656"/>
      <c r="FW893" s="656"/>
      <c r="FX893" s="656"/>
      <c r="FY893" s="656"/>
      <c r="FZ893" s="656"/>
      <c r="GA893" s="656"/>
      <c r="GB893" s="656"/>
      <c r="GC893" s="656"/>
      <c r="GD893" s="656"/>
      <c r="GE893" s="656"/>
      <c r="GF893" s="656"/>
      <c r="GG893" s="656"/>
      <c r="GH893" s="656"/>
      <c r="GI893" s="656"/>
      <c r="GJ893" s="656"/>
      <c r="GK893" s="656"/>
      <c r="GL893" s="656"/>
      <c r="GM893" s="656"/>
      <c r="GN893" s="656"/>
      <c r="GO893" s="656"/>
      <c r="GP893" s="656"/>
      <c r="GQ893" s="656"/>
      <c r="GR893" s="656"/>
      <c r="GS893" s="656"/>
      <c r="GT893" s="656"/>
      <c r="GU893" s="656"/>
      <c r="GV893" s="656"/>
      <c r="GW893" s="656"/>
      <c r="GX893" s="656"/>
      <c r="GY893" s="656"/>
      <c r="GZ893" s="656"/>
      <c r="HA893" s="656"/>
      <c r="HB893" s="656"/>
      <c r="HC893" s="656"/>
      <c r="HD893" s="656"/>
      <c r="HE893" s="656"/>
      <c r="HF893" s="656"/>
      <c r="HG893" s="656"/>
      <c r="HH893" s="656"/>
      <c r="HI893" s="656"/>
      <c r="HJ893" s="656"/>
      <c r="HK893" s="656"/>
      <c r="HL893" s="656"/>
      <c r="HM893" s="656"/>
      <c r="HN893" s="656"/>
      <c r="HO893" s="656"/>
      <c r="HP893" s="656"/>
      <c r="HQ893" s="656"/>
      <c r="HR893" s="656"/>
      <c r="HS893" s="656"/>
      <c r="HT893" s="656"/>
      <c r="HU893" s="656"/>
      <c r="HV893" s="656"/>
      <c r="HW893" s="656"/>
      <c r="HX893" s="656"/>
      <c r="HY893" s="656"/>
      <c r="HZ893" s="656"/>
      <c r="IA893" s="656"/>
      <c r="IB893" s="656"/>
      <c r="IC893" s="656"/>
      <c r="ID893" s="656"/>
      <c r="IE893" s="656"/>
      <c r="IF893" s="656"/>
      <c r="IG893" s="656"/>
      <c r="IH893" s="656"/>
      <c r="II893" s="656"/>
      <c r="IJ893" s="656"/>
      <c r="IK893" s="656"/>
      <c r="IL893" s="656"/>
      <c r="IM893" s="656"/>
      <c r="IN893" s="656"/>
      <c r="IO893" s="656"/>
      <c r="IP893" s="656"/>
      <c r="IQ893" s="656"/>
      <c r="IR893" s="656"/>
      <c r="IS893" s="656"/>
      <c r="IT893" s="656"/>
      <c r="IU893" s="656"/>
      <c r="IV893" s="656"/>
    </row>
    <row r="894" spans="1:256" s="642" customFormat="1" ht="36" x14ac:dyDescent="0.25">
      <c r="A894" s="662" t="s">
        <v>278</v>
      </c>
      <c r="B894" s="662" t="s">
        <v>1090</v>
      </c>
      <c r="C894" s="663" t="s">
        <v>1662</v>
      </c>
      <c r="D894" s="630" t="s">
        <v>1663</v>
      </c>
      <c r="E894" s="631" t="s">
        <v>248</v>
      </c>
      <c r="F894" s="632"/>
      <c r="G894" s="664">
        <v>28.3</v>
      </c>
      <c r="H894" s="632">
        <v>1.5</v>
      </c>
      <c r="I894" s="665">
        <f>G894</f>
        <v>28.3</v>
      </c>
      <c r="J894" s="665"/>
      <c r="K894" s="665">
        <f>I894+J894</f>
        <v>28.3</v>
      </c>
      <c r="L894" s="622">
        <f>H894*I894</f>
        <v>42.45</v>
      </c>
      <c r="M894" s="622">
        <f>H894*J894</f>
        <v>0</v>
      </c>
      <c r="N894" s="622">
        <f>L894+M894</f>
        <v>42.45</v>
      </c>
      <c r="O894" s="622">
        <f>N894*$P$4</f>
        <v>10.425720000000002</v>
      </c>
      <c r="P894" s="622">
        <f>N894+O894</f>
        <v>52.875720000000001</v>
      </c>
      <c r="Q894" s="627"/>
      <c r="R894" s="627"/>
      <c r="S894" s="627"/>
      <c r="T894" s="627"/>
      <c r="U894" s="627"/>
      <c r="V894" s="627"/>
      <c r="W894" s="627"/>
      <c r="X894" s="627"/>
      <c r="Y894" s="627"/>
      <c r="Z894" s="627"/>
      <c r="AA894" s="627"/>
      <c r="AB894" s="627"/>
      <c r="AC894" s="627"/>
      <c r="AD894" s="627"/>
      <c r="AE894" s="627"/>
      <c r="AF894" s="627"/>
      <c r="AG894" s="627"/>
      <c r="AH894" s="627"/>
      <c r="AI894" s="627"/>
      <c r="AJ894" s="627"/>
      <c r="AK894" s="627"/>
      <c r="AL894" s="627"/>
      <c r="AM894" s="627"/>
      <c r="AN894" s="627"/>
      <c r="AO894" s="627"/>
      <c r="AP894" s="627"/>
      <c r="AQ894" s="627"/>
      <c r="AR894" s="627"/>
      <c r="AS894" s="627"/>
      <c r="AT894" s="627"/>
      <c r="AU894" s="627"/>
      <c r="AV894" s="627"/>
      <c r="AW894" s="627"/>
      <c r="AX894" s="627"/>
      <c r="AY894" s="627"/>
      <c r="AZ894" s="627"/>
      <c r="BA894" s="627"/>
      <c r="BB894" s="627"/>
      <c r="BC894" s="627"/>
      <c r="BD894" s="627"/>
      <c r="BE894" s="627"/>
      <c r="BF894" s="627"/>
      <c r="BG894" s="627"/>
      <c r="BH894" s="627"/>
      <c r="BI894" s="627"/>
      <c r="BJ894" s="627"/>
      <c r="BK894" s="627"/>
      <c r="BL894" s="627"/>
      <c r="BM894" s="627"/>
      <c r="BN894" s="627"/>
      <c r="BO894" s="627"/>
      <c r="BP894" s="627"/>
      <c r="BQ894" s="627"/>
      <c r="BR894" s="627"/>
      <c r="BS894" s="627"/>
      <c r="BT894" s="627"/>
      <c r="BU894" s="627"/>
      <c r="BV894" s="627"/>
      <c r="BW894" s="627"/>
      <c r="BX894" s="627"/>
      <c r="BY894" s="627"/>
      <c r="BZ894" s="627"/>
      <c r="CA894" s="627"/>
      <c r="CB894" s="627"/>
      <c r="CC894" s="627"/>
      <c r="CD894" s="627"/>
      <c r="CE894" s="627"/>
      <c r="CF894" s="627"/>
      <c r="CG894" s="627"/>
      <c r="CH894" s="627"/>
      <c r="CI894" s="627"/>
      <c r="CJ894" s="627"/>
      <c r="CK894" s="627"/>
      <c r="CL894" s="627"/>
      <c r="CM894" s="627"/>
      <c r="CN894" s="627"/>
      <c r="CO894" s="627"/>
      <c r="CP894" s="627"/>
      <c r="CQ894" s="627"/>
      <c r="CR894" s="627"/>
      <c r="CS894" s="627"/>
      <c r="CT894" s="627"/>
      <c r="CU894" s="627"/>
      <c r="CV894" s="627"/>
      <c r="CW894" s="627"/>
      <c r="CX894" s="627"/>
      <c r="CY894" s="627"/>
      <c r="CZ894" s="627"/>
      <c r="DA894" s="627"/>
      <c r="DB894" s="627"/>
      <c r="DC894" s="627"/>
      <c r="DD894" s="627"/>
      <c r="DE894" s="627"/>
      <c r="DF894" s="627"/>
      <c r="DG894" s="627"/>
      <c r="DH894" s="627"/>
      <c r="DI894" s="627"/>
      <c r="DJ894" s="627"/>
      <c r="DK894" s="627"/>
      <c r="DL894" s="627"/>
      <c r="DM894" s="627"/>
      <c r="DN894" s="627"/>
      <c r="DO894" s="627"/>
      <c r="DP894" s="627"/>
      <c r="DQ894" s="627"/>
      <c r="DR894" s="627"/>
      <c r="DS894" s="627"/>
      <c r="DT894" s="627"/>
      <c r="DU894" s="627"/>
      <c r="DV894" s="627"/>
      <c r="DW894" s="627"/>
      <c r="DX894" s="627"/>
      <c r="DY894" s="627"/>
      <c r="DZ894" s="627"/>
      <c r="EA894" s="627"/>
      <c r="EB894" s="627"/>
      <c r="EC894" s="627"/>
      <c r="ED894" s="627"/>
      <c r="EE894" s="627"/>
      <c r="EF894" s="627"/>
      <c r="EG894" s="627"/>
      <c r="EH894" s="627"/>
      <c r="EI894" s="627"/>
      <c r="EJ894" s="627"/>
      <c r="EK894" s="627"/>
      <c r="EL894" s="627"/>
      <c r="EM894" s="627"/>
      <c r="EN894" s="627"/>
      <c r="EO894" s="627"/>
      <c r="EP894" s="627"/>
      <c r="EQ894" s="627"/>
      <c r="ER894" s="627"/>
      <c r="ES894" s="627"/>
      <c r="ET894" s="627"/>
      <c r="EU894" s="627"/>
      <c r="EV894" s="627"/>
      <c r="EW894" s="627"/>
      <c r="EX894" s="627"/>
      <c r="EY894" s="627"/>
      <c r="EZ894" s="627"/>
      <c r="FA894" s="627"/>
      <c r="FB894" s="627"/>
      <c r="FC894" s="627"/>
      <c r="FD894" s="627"/>
      <c r="FE894" s="627"/>
      <c r="FF894" s="627"/>
      <c r="FG894" s="627"/>
      <c r="FH894" s="627"/>
      <c r="FI894" s="627"/>
      <c r="FJ894" s="627"/>
      <c r="FK894" s="627"/>
      <c r="FL894" s="627"/>
      <c r="FM894" s="627"/>
      <c r="FN894" s="627"/>
      <c r="FO894" s="627"/>
      <c r="FP894" s="627"/>
      <c r="FQ894" s="627"/>
      <c r="FR894" s="627"/>
      <c r="FS894" s="627"/>
      <c r="FT894" s="627"/>
      <c r="FU894" s="627"/>
      <c r="FV894" s="627"/>
      <c r="FW894" s="627"/>
      <c r="FX894" s="627"/>
      <c r="FY894" s="627"/>
      <c r="FZ894" s="627"/>
      <c r="GA894" s="627"/>
      <c r="GB894" s="627"/>
      <c r="GC894" s="627"/>
      <c r="GD894" s="627"/>
      <c r="GE894" s="627"/>
      <c r="GF894" s="627"/>
      <c r="GG894" s="627"/>
      <c r="GH894" s="627"/>
      <c r="GI894" s="627"/>
      <c r="GJ894" s="627"/>
      <c r="GK894" s="627"/>
      <c r="GL894" s="627"/>
      <c r="GM894" s="627"/>
      <c r="GN894" s="627"/>
      <c r="GO894" s="627"/>
      <c r="GP894" s="627"/>
      <c r="GQ894" s="627"/>
      <c r="GR894" s="627"/>
      <c r="GS894" s="627"/>
      <c r="GT894" s="627"/>
      <c r="GU894" s="627"/>
      <c r="GV894" s="627"/>
      <c r="GW894" s="627"/>
      <c r="GX894" s="627"/>
      <c r="GY894" s="627"/>
      <c r="GZ894" s="627"/>
      <c r="HA894" s="627"/>
      <c r="HB894" s="627"/>
      <c r="HC894" s="627"/>
      <c r="HD894" s="627"/>
      <c r="HE894" s="627"/>
      <c r="HF894" s="627"/>
      <c r="HG894" s="627"/>
      <c r="HH894" s="627"/>
      <c r="HI894" s="627"/>
      <c r="HJ894" s="627"/>
      <c r="HK894" s="627"/>
      <c r="HL894" s="627"/>
      <c r="HM894" s="627"/>
      <c r="HN894" s="627"/>
      <c r="HO894" s="627"/>
      <c r="HP894" s="627"/>
      <c r="HQ894" s="627"/>
      <c r="HR894" s="627"/>
      <c r="HS894" s="627"/>
      <c r="HT894" s="627"/>
      <c r="HU894" s="627"/>
      <c r="HV894" s="627"/>
      <c r="HW894" s="627"/>
      <c r="HX894" s="627"/>
      <c r="HY894" s="627"/>
      <c r="HZ894" s="627"/>
      <c r="IA894" s="627"/>
      <c r="IB894" s="627"/>
      <c r="IC894" s="627"/>
      <c r="ID894" s="627"/>
      <c r="IE894" s="627"/>
      <c r="IF894" s="627"/>
      <c r="IG894" s="627"/>
      <c r="IH894" s="627"/>
      <c r="II894" s="627"/>
      <c r="IJ894" s="627"/>
      <c r="IK894" s="627"/>
      <c r="IL894" s="627"/>
      <c r="IM894" s="627"/>
      <c r="IN894" s="627"/>
      <c r="IO894" s="627"/>
      <c r="IP894" s="627"/>
      <c r="IQ894" s="627"/>
      <c r="IR894" s="627"/>
      <c r="IS894" s="627"/>
      <c r="IT894" s="627"/>
      <c r="IU894" s="627"/>
      <c r="IV894" s="627"/>
    </row>
    <row r="895" spans="1:256" s="642" customFormat="1" x14ac:dyDescent="0.25">
      <c r="A895" s="624"/>
      <c r="B895" s="666"/>
      <c r="C895" s="667"/>
      <c r="D895" s="668"/>
      <c r="E895" s="669"/>
      <c r="F895" s="670"/>
      <c r="G895" s="671"/>
      <c r="H895" s="672"/>
      <c r="I895" s="673"/>
      <c r="J895" s="674"/>
      <c r="K895" s="674"/>
      <c r="L895" s="674"/>
      <c r="M895" s="674"/>
      <c r="N895" s="674"/>
      <c r="O895" s="674"/>
      <c r="P895" s="674"/>
      <c r="Q895" s="627"/>
      <c r="R895" s="627"/>
      <c r="S895" s="627"/>
      <c r="T895" s="627"/>
      <c r="U895" s="627"/>
      <c r="V895" s="627"/>
      <c r="W895" s="627"/>
      <c r="X895" s="627"/>
      <c r="Y895" s="627"/>
      <c r="Z895" s="627"/>
      <c r="AA895" s="627"/>
      <c r="AB895" s="627"/>
      <c r="AC895" s="627"/>
      <c r="AD895" s="627"/>
      <c r="AE895" s="627"/>
      <c r="AF895" s="627"/>
      <c r="AG895" s="627"/>
      <c r="AH895" s="627"/>
      <c r="AI895" s="627"/>
      <c r="AJ895" s="627"/>
      <c r="AK895" s="627"/>
      <c r="AL895" s="627"/>
      <c r="AM895" s="627"/>
      <c r="AN895" s="627"/>
      <c r="AO895" s="627"/>
      <c r="AP895" s="627"/>
      <c r="AQ895" s="627"/>
      <c r="AR895" s="627"/>
      <c r="AS895" s="627"/>
      <c r="AT895" s="627"/>
      <c r="AU895" s="627"/>
      <c r="AV895" s="627"/>
      <c r="AW895" s="627"/>
      <c r="AX895" s="627"/>
      <c r="AY895" s="627"/>
      <c r="AZ895" s="627"/>
      <c r="BA895" s="627"/>
      <c r="BB895" s="627"/>
      <c r="BC895" s="627"/>
      <c r="BD895" s="627"/>
      <c r="BE895" s="627"/>
      <c r="BF895" s="627"/>
      <c r="BG895" s="627"/>
      <c r="BH895" s="627"/>
      <c r="BI895" s="627"/>
      <c r="BJ895" s="627"/>
      <c r="BK895" s="627"/>
      <c r="BL895" s="627"/>
      <c r="BM895" s="627"/>
      <c r="BN895" s="627"/>
      <c r="BO895" s="627"/>
      <c r="BP895" s="627"/>
      <c r="BQ895" s="627"/>
      <c r="BR895" s="627"/>
      <c r="BS895" s="627"/>
      <c r="BT895" s="627"/>
      <c r="BU895" s="627"/>
      <c r="BV895" s="627"/>
      <c r="BW895" s="627"/>
      <c r="BX895" s="627"/>
      <c r="BY895" s="627"/>
      <c r="BZ895" s="627"/>
      <c r="CA895" s="627"/>
      <c r="CB895" s="627"/>
      <c r="CC895" s="627"/>
      <c r="CD895" s="627"/>
      <c r="CE895" s="627"/>
      <c r="CF895" s="627"/>
      <c r="CG895" s="627"/>
      <c r="CH895" s="627"/>
      <c r="CI895" s="627"/>
      <c r="CJ895" s="627"/>
      <c r="CK895" s="627"/>
      <c r="CL895" s="627"/>
      <c r="CM895" s="627"/>
      <c r="CN895" s="627"/>
      <c r="CO895" s="627"/>
      <c r="CP895" s="627"/>
      <c r="CQ895" s="627"/>
      <c r="CR895" s="627"/>
      <c r="CS895" s="627"/>
      <c r="CT895" s="627"/>
      <c r="CU895" s="627"/>
      <c r="CV895" s="627"/>
      <c r="CW895" s="627"/>
      <c r="CX895" s="627"/>
      <c r="CY895" s="627"/>
      <c r="CZ895" s="627"/>
      <c r="DA895" s="627"/>
      <c r="DB895" s="627"/>
      <c r="DC895" s="627"/>
      <c r="DD895" s="627"/>
      <c r="DE895" s="627"/>
      <c r="DF895" s="627"/>
      <c r="DG895" s="627"/>
      <c r="DH895" s="627"/>
      <c r="DI895" s="627"/>
      <c r="DJ895" s="627"/>
      <c r="DK895" s="627"/>
      <c r="DL895" s="627"/>
      <c r="DM895" s="627"/>
      <c r="DN895" s="627"/>
      <c r="DO895" s="627"/>
      <c r="DP895" s="627"/>
      <c r="DQ895" s="627"/>
      <c r="DR895" s="627"/>
      <c r="DS895" s="627"/>
      <c r="DT895" s="627"/>
      <c r="DU895" s="627"/>
      <c r="DV895" s="627"/>
      <c r="DW895" s="627"/>
      <c r="DX895" s="627"/>
      <c r="DY895" s="627"/>
      <c r="DZ895" s="627"/>
      <c r="EA895" s="627"/>
      <c r="EB895" s="627"/>
      <c r="EC895" s="627"/>
      <c r="ED895" s="627"/>
      <c r="EE895" s="627"/>
      <c r="EF895" s="627"/>
      <c r="EG895" s="627"/>
      <c r="EH895" s="627"/>
      <c r="EI895" s="627"/>
      <c r="EJ895" s="627"/>
      <c r="EK895" s="627"/>
      <c r="EL895" s="627"/>
      <c r="EM895" s="627"/>
      <c r="EN895" s="627"/>
      <c r="EO895" s="627"/>
      <c r="EP895" s="627"/>
      <c r="EQ895" s="627"/>
      <c r="ER895" s="627"/>
      <c r="ES895" s="627"/>
      <c r="ET895" s="627"/>
      <c r="EU895" s="627"/>
      <c r="EV895" s="627"/>
      <c r="EW895" s="627"/>
      <c r="EX895" s="627"/>
      <c r="EY895" s="627"/>
      <c r="EZ895" s="627"/>
      <c r="FA895" s="627"/>
      <c r="FB895" s="627"/>
      <c r="FC895" s="627"/>
      <c r="FD895" s="627"/>
      <c r="FE895" s="627"/>
      <c r="FF895" s="627"/>
      <c r="FG895" s="627"/>
      <c r="FH895" s="627"/>
      <c r="FI895" s="627"/>
      <c r="FJ895" s="627"/>
      <c r="FK895" s="627"/>
      <c r="FL895" s="627"/>
      <c r="FM895" s="627"/>
      <c r="FN895" s="627"/>
      <c r="FO895" s="627"/>
      <c r="FP895" s="627"/>
      <c r="FQ895" s="627"/>
      <c r="FR895" s="627"/>
      <c r="FS895" s="627"/>
      <c r="FT895" s="627"/>
      <c r="FU895" s="627"/>
      <c r="FV895" s="627"/>
      <c r="FW895" s="627"/>
      <c r="FX895" s="627"/>
      <c r="FY895" s="627"/>
      <c r="FZ895" s="627"/>
      <c r="GA895" s="627"/>
      <c r="GB895" s="627"/>
      <c r="GC895" s="627"/>
      <c r="GD895" s="627"/>
      <c r="GE895" s="627"/>
      <c r="GF895" s="627"/>
      <c r="GG895" s="627"/>
      <c r="GH895" s="627"/>
      <c r="GI895" s="627"/>
      <c r="GJ895" s="627"/>
      <c r="GK895" s="627"/>
      <c r="GL895" s="627"/>
      <c r="GM895" s="627"/>
      <c r="GN895" s="627"/>
      <c r="GO895" s="627"/>
      <c r="GP895" s="627"/>
      <c r="GQ895" s="627"/>
      <c r="GR895" s="627"/>
      <c r="GS895" s="627"/>
      <c r="GT895" s="627"/>
      <c r="GU895" s="627"/>
      <c r="GV895" s="627"/>
      <c r="GW895" s="627"/>
      <c r="GX895" s="627"/>
      <c r="GY895" s="627"/>
      <c r="GZ895" s="627"/>
      <c r="HA895" s="627"/>
      <c r="HB895" s="627"/>
      <c r="HC895" s="627"/>
      <c r="HD895" s="627"/>
      <c r="HE895" s="627"/>
      <c r="HF895" s="627"/>
      <c r="HG895" s="627"/>
      <c r="HH895" s="627"/>
      <c r="HI895" s="627"/>
      <c r="HJ895" s="627"/>
      <c r="HK895" s="627"/>
      <c r="HL895" s="627"/>
      <c r="HM895" s="627"/>
      <c r="HN895" s="627"/>
      <c r="HO895" s="627"/>
      <c r="HP895" s="627"/>
      <c r="HQ895" s="627"/>
      <c r="HR895" s="627"/>
      <c r="HS895" s="627"/>
      <c r="HT895" s="627"/>
      <c r="HU895" s="627"/>
      <c r="HV895" s="627"/>
      <c r="HW895" s="627"/>
      <c r="HX895" s="627"/>
      <c r="HY895" s="627"/>
      <c r="HZ895" s="627"/>
      <c r="IA895" s="627"/>
      <c r="IB895" s="627"/>
      <c r="IC895" s="627"/>
      <c r="ID895" s="627"/>
      <c r="IE895" s="627"/>
      <c r="IF895" s="627"/>
      <c r="IG895" s="627"/>
      <c r="IH895" s="627"/>
      <c r="II895" s="627"/>
      <c r="IJ895" s="627"/>
      <c r="IK895" s="627"/>
      <c r="IL895" s="627"/>
      <c r="IM895" s="627"/>
      <c r="IN895" s="627"/>
      <c r="IO895" s="627"/>
      <c r="IP895" s="627"/>
      <c r="IQ895" s="627"/>
      <c r="IR895" s="627"/>
      <c r="IS895" s="627"/>
      <c r="IT895" s="627"/>
      <c r="IU895" s="627"/>
      <c r="IV895" s="627"/>
    </row>
    <row r="896" spans="1:256" s="642" customFormat="1" ht="24" x14ac:dyDescent="0.25">
      <c r="A896" s="662" t="s">
        <v>278</v>
      </c>
      <c r="B896" s="662" t="s">
        <v>1664</v>
      </c>
      <c r="C896" s="675" t="s">
        <v>1665</v>
      </c>
      <c r="D896" s="630" t="s">
        <v>1666</v>
      </c>
      <c r="E896" s="675" t="s">
        <v>1667</v>
      </c>
      <c r="F896" s="620"/>
      <c r="G896" s="622"/>
      <c r="H896" s="620">
        <v>0.1</v>
      </c>
      <c r="I896" s="676">
        <f>SUM(I897:I898)</f>
        <v>0</v>
      </c>
      <c r="J896" s="676">
        <f>SUM(J897:J898)</f>
        <v>132.29999999999998</v>
      </c>
      <c r="K896" s="677">
        <f>I896+J896</f>
        <v>132.29999999999998</v>
      </c>
      <c r="L896" s="622">
        <f>H896*I896</f>
        <v>0</v>
      </c>
      <c r="M896" s="622">
        <f>H896*J896</f>
        <v>13.229999999999999</v>
      </c>
      <c r="N896" s="622">
        <f>L896+M896</f>
        <v>13.229999999999999</v>
      </c>
      <c r="O896" s="622">
        <f>N896*$P$4</f>
        <v>3.249288</v>
      </c>
      <c r="P896" s="622">
        <f>N896+O896</f>
        <v>16.479287999999997</v>
      </c>
      <c r="Q896" s="609"/>
      <c r="R896" s="609"/>
      <c r="S896" s="609"/>
      <c r="T896" s="609"/>
      <c r="U896" s="609"/>
      <c r="V896" s="609"/>
      <c r="W896" s="609"/>
      <c r="X896" s="609"/>
      <c r="Y896" s="609"/>
      <c r="Z896" s="609"/>
      <c r="AA896" s="609"/>
      <c r="AB896" s="609"/>
      <c r="AC896" s="609"/>
      <c r="AD896" s="609"/>
      <c r="AE896" s="609"/>
      <c r="AF896" s="609"/>
      <c r="AG896" s="609"/>
      <c r="AH896" s="609"/>
      <c r="AI896" s="609"/>
      <c r="AJ896" s="609"/>
      <c r="AK896" s="609"/>
      <c r="AL896" s="609"/>
      <c r="AM896" s="609"/>
      <c r="AN896" s="609"/>
      <c r="AO896" s="609"/>
      <c r="AP896" s="609"/>
      <c r="AQ896" s="609"/>
      <c r="AR896" s="609"/>
      <c r="AS896" s="609"/>
      <c r="AT896" s="609"/>
      <c r="AU896" s="609"/>
      <c r="AV896" s="609"/>
      <c r="AW896" s="609"/>
      <c r="AX896" s="609"/>
      <c r="AY896" s="609"/>
      <c r="AZ896" s="609"/>
      <c r="BA896" s="609"/>
      <c r="BB896" s="609"/>
      <c r="BC896" s="609"/>
      <c r="BD896" s="609"/>
      <c r="BE896" s="609"/>
      <c r="BF896" s="609"/>
      <c r="BG896" s="609"/>
      <c r="BH896" s="609"/>
      <c r="BI896" s="609"/>
      <c r="BJ896" s="609"/>
      <c r="BK896" s="609"/>
      <c r="BL896" s="609"/>
      <c r="BM896" s="609"/>
      <c r="BN896" s="609"/>
      <c r="BO896" s="609"/>
      <c r="BP896" s="609"/>
      <c r="BQ896" s="609"/>
      <c r="BR896" s="609"/>
      <c r="BS896" s="609"/>
      <c r="BT896" s="609"/>
      <c r="BU896" s="609"/>
      <c r="BV896" s="609"/>
      <c r="BW896" s="609"/>
      <c r="BX896" s="609"/>
      <c r="BY896" s="609"/>
      <c r="BZ896" s="609"/>
      <c r="CA896" s="609"/>
      <c r="CB896" s="609"/>
      <c r="CC896" s="609"/>
      <c r="CD896" s="609"/>
      <c r="CE896" s="609"/>
      <c r="CF896" s="609"/>
      <c r="CG896" s="609"/>
      <c r="CH896" s="609"/>
      <c r="CI896" s="609"/>
      <c r="CJ896" s="609"/>
      <c r="CK896" s="609"/>
      <c r="CL896" s="609"/>
      <c r="CM896" s="609"/>
      <c r="CN896" s="609"/>
      <c r="CO896" s="609"/>
      <c r="CP896" s="609"/>
      <c r="CQ896" s="609"/>
      <c r="CR896" s="609"/>
      <c r="CS896" s="609"/>
      <c r="CT896" s="609"/>
      <c r="CU896" s="609"/>
      <c r="CV896" s="609"/>
      <c r="CW896" s="609"/>
      <c r="CX896" s="609"/>
      <c r="CY896" s="609"/>
      <c r="CZ896" s="609"/>
      <c r="DA896" s="609"/>
      <c r="DB896" s="609"/>
      <c r="DC896" s="609"/>
      <c r="DD896" s="609"/>
      <c r="DE896" s="609"/>
      <c r="DF896" s="609"/>
      <c r="DG896" s="609"/>
      <c r="DH896" s="609"/>
      <c r="DI896" s="609"/>
      <c r="DJ896" s="609"/>
      <c r="DK896" s="609"/>
      <c r="DL896" s="609"/>
      <c r="DM896" s="609"/>
      <c r="DN896" s="609"/>
      <c r="DO896" s="609"/>
      <c r="DP896" s="609"/>
      <c r="DQ896" s="609"/>
      <c r="DR896" s="609"/>
      <c r="DS896" s="609"/>
      <c r="DT896" s="609"/>
      <c r="DU896" s="609"/>
      <c r="DV896" s="609"/>
      <c r="DW896" s="609"/>
      <c r="DX896" s="609"/>
      <c r="DY896" s="609"/>
      <c r="DZ896" s="609"/>
      <c r="EA896" s="609"/>
      <c r="EB896" s="609"/>
      <c r="EC896" s="609"/>
      <c r="ED896" s="609"/>
      <c r="EE896" s="609"/>
      <c r="EF896" s="609"/>
      <c r="EG896" s="609"/>
      <c r="EH896" s="609"/>
      <c r="EI896" s="609"/>
      <c r="EJ896" s="609"/>
      <c r="EK896" s="609"/>
      <c r="EL896" s="609"/>
      <c r="EM896" s="609"/>
      <c r="EN896" s="609"/>
      <c r="EO896" s="609"/>
      <c r="EP896" s="609"/>
      <c r="EQ896" s="609"/>
      <c r="ER896" s="609"/>
      <c r="ES896" s="609"/>
      <c r="ET896" s="609"/>
      <c r="EU896" s="609"/>
      <c r="EV896" s="609"/>
      <c r="EW896" s="609"/>
      <c r="EX896" s="609"/>
      <c r="EY896" s="609"/>
      <c r="EZ896" s="609"/>
      <c r="FA896" s="609"/>
      <c r="FB896" s="609"/>
      <c r="FC896" s="609"/>
      <c r="FD896" s="609"/>
      <c r="FE896" s="609"/>
      <c r="FF896" s="609"/>
      <c r="FG896" s="609"/>
      <c r="FH896" s="609"/>
      <c r="FI896" s="609"/>
      <c r="FJ896" s="609"/>
      <c r="FK896" s="609"/>
      <c r="FL896" s="609"/>
      <c r="FM896" s="609"/>
      <c r="FN896" s="609"/>
      <c r="FO896" s="609"/>
      <c r="FP896" s="609"/>
      <c r="FQ896" s="609"/>
      <c r="FR896" s="609"/>
      <c r="FS896" s="609"/>
      <c r="FT896" s="609"/>
      <c r="FU896" s="609"/>
      <c r="FV896" s="609"/>
      <c r="FW896" s="609"/>
      <c r="FX896" s="609"/>
      <c r="FY896" s="609"/>
      <c r="FZ896" s="609"/>
      <c r="GA896" s="609"/>
      <c r="GB896" s="609"/>
      <c r="GC896" s="609"/>
      <c r="GD896" s="609"/>
      <c r="GE896" s="609"/>
      <c r="GF896" s="609"/>
      <c r="GG896" s="609"/>
      <c r="GH896" s="609"/>
      <c r="GI896" s="609"/>
      <c r="GJ896" s="609"/>
      <c r="GK896" s="609"/>
      <c r="GL896" s="609"/>
      <c r="GM896" s="609"/>
      <c r="GN896" s="609"/>
      <c r="GO896" s="609"/>
      <c r="GP896" s="609"/>
      <c r="GQ896" s="609"/>
      <c r="GR896" s="609"/>
      <c r="GS896" s="609"/>
      <c r="GT896" s="609"/>
      <c r="GU896" s="609"/>
      <c r="GV896" s="609"/>
      <c r="GW896" s="609"/>
      <c r="GX896" s="609"/>
      <c r="GY896" s="609"/>
      <c r="GZ896" s="609"/>
      <c r="HA896" s="609"/>
      <c r="HB896" s="609"/>
      <c r="HC896" s="609"/>
      <c r="HD896" s="609"/>
      <c r="HE896" s="609"/>
      <c r="HF896" s="609"/>
      <c r="HG896" s="609"/>
      <c r="HH896" s="609"/>
      <c r="HI896" s="609"/>
      <c r="HJ896" s="609"/>
      <c r="HK896" s="609"/>
      <c r="HL896" s="609"/>
      <c r="HM896" s="609"/>
      <c r="HN896" s="609"/>
      <c r="HO896" s="609"/>
      <c r="HP896" s="609"/>
      <c r="HQ896" s="609"/>
      <c r="HR896" s="609"/>
      <c r="HS896" s="609"/>
      <c r="HT896" s="609"/>
      <c r="HU896" s="609"/>
      <c r="HV896" s="609"/>
      <c r="HW896" s="609"/>
      <c r="HX896" s="609"/>
      <c r="HY896" s="609"/>
      <c r="HZ896" s="609"/>
      <c r="IA896" s="609"/>
      <c r="IB896" s="609"/>
      <c r="IC896" s="609"/>
      <c r="ID896" s="609"/>
      <c r="IE896" s="609"/>
      <c r="IF896" s="609"/>
      <c r="IG896" s="609"/>
      <c r="IH896" s="609"/>
      <c r="II896" s="609"/>
      <c r="IJ896" s="609"/>
      <c r="IK896" s="609"/>
      <c r="IL896" s="609"/>
      <c r="IM896" s="609"/>
      <c r="IN896" s="609"/>
      <c r="IO896" s="609"/>
      <c r="IP896" s="609"/>
      <c r="IQ896" s="609"/>
      <c r="IR896" s="609"/>
      <c r="IS896" s="609"/>
      <c r="IT896" s="609"/>
      <c r="IU896" s="609"/>
      <c r="IV896" s="609"/>
    </row>
    <row r="897" spans="1:256" s="642" customFormat="1" x14ac:dyDescent="0.25">
      <c r="A897" s="678" t="s">
        <v>277</v>
      </c>
      <c r="B897" s="679">
        <v>4750</v>
      </c>
      <c r="C897" s="678"/>
      <c r="D897" s="680" t="s">
        <v>243</v>
      </c>
      <c r="E897" s="636" t="s">
        <v>229</v>
      </c>
      <c r="F897" s="612">
        <v>1.3</v>
      </c>
      <c r="G897" s="681">
        <v>12.57</v>
      </c>
      <c r="H897" s="612"/>
      <c r="I897" s="612"/>
      <c r="J897" s="674">
        <f>ROUND(F897*G897,2)</f>
        <v>16.34</v>
      </c>
      <c r="K897" s="682"/>
      <c r="L897" s="612"/>
      <c r="M897" s="612"/>
      <c r="N897" s="612"/>
      <c r="O897" s="612"/>
      <c r="P897" s="612"/>
      <c r="Q897" s="609"/>
      <c r="R897" s="609"/>
      <c r="S897" s="609"/>
      <c r="T897" s="609"/>
      <c r="U897" s="609"/>
      <c r="V897" s="609"/>
      <c r="W897" s="609"/>
      <c r="X897" s="609"/>
      <c r="Y897" s="609"/>
      <c r="Z897" s="609"/>
      <c r="AA897" s="609"/>
      <c r="AB897" s="609"/>
      <c r="AC897" s="609"/>
      <c r="AD897" s="609"/>
      <c r="AE897" s="609"/>
      <c r="AF897" s="609"/>
      <c r="AG897" s="609"/>
      <c r="AH897" s="609"/>
      <c r="AI897" s="609"/>
      <c r="AJ897" s="609"/>
      <c r="AK897" s="609"/>
      <c r="AL897" s="609"/>
      <c r="AM897" s="609"/>
      <c r="AN897" s="609"/>
      <c r="AO897" s="609"/>
      <c r="AP897" s="609"/>
      <c r="AQ897" s="609"/>
      <c r="AR897" s="609"/>
      <c r="AS897" s="609"/>
      <c r="AT897" s="609"/>
      <c r="AU897" s="609"/>
      <c r="AV897" s="609"/>
      <c r="AW897" s="609"/>
      <c r="AX897" s="609"/>
      <c r="AY897" s="609"/>
      <c r="AZ897" s="609"/>
      <c r="BA897" s="609"/>
      <c r="BB897" s="609"/>
      <c r="BC897" s="609"/>
      <c r="BD897" s="609"/>
      <c r="BE897" s="609"/>
      <c r="BF897" s="609"/>
      <c r="BG897" s="609"/>
      <c r="BH897" s="609"/>
      <c r="BI897" s="609"/>
      <c r="BJ897" s="609"/>
      <c r="BK897" s="609"/>
      <c r="BL897" s="609"/>
      <c r="BM897" s="609"/>
      <c r="BN897" s="609"/>
      <c r="BO897" s="609"/>
      <c r="BP897" s="609"/>
      <c r="BQ897" s="609"/>
      <c r="BR897" s="609"/>
      <c r="BS897" s="609"/>
      <c r="BT897" s="609"/>
      <c r="BU897" s="609"/>
      <c r="BV897" s="609"/>
      <c r="BW897" s="609"/>
      <c r="BX897" s="609"/>
      <c r="BY897" s="609"/>
      <c r="BZ897" s="609"/>
      <c r="CA897" s="609"/>
      <c r="CB897" s="609"/>
      <c r="CC897" s="609"/>
      <c r="CD897" s="609"/>
      <c r="CE897" s="609"/>
      <c r="CF897" s="609"/>
      <c r="CG897" s="609"/>
      <c r="CH897" s="609"/>
      <c r="CI897" s="609"/>
      <c r="CJ897" s="609"/>
      <c r="CK897" s="609"/>
      <c r="CL897" s="609"/>
      <c r="CM897" s="609"/>
      <c r="CN897" s="609"/>
      <c r="CO897" s="609"/>
      <c r="CP897" s="609"/>
      <c r="CQ897" s="609"/>
      <c r="CR897" s="609"/>
      <c r="CS897" s="609"/>
      <c r="CT897" s="609"/>
      <c r="CU897" s="609"/>
      <c r="CV897" s="609"/>
      <c r="CW897" s="609"/>
      <c r="CX897" s="609"/>
      <c r="CY897" s="609"/>
      <c r="CZ897" s="609"/>
      <c r="DA897" s="609"/>
      <c r="DB897" s="609"/>
      <c r="DC897" s="609"/>
      <c r="DD897" s="609"/>
      <c r="DE897" s="609"/>
      <c r="DF897" s="609"/>
      <c r="DG897" s="609"/>
      <c r="DH897" s="609"/>
      <c r="DI897" s="609"/>
      <c r="DJ897" s="609"/>
      <c r="DK897" s="609"/>
      <c r="DL897" s="609"/>
      <c r="DM897" s="609"/>
      <c r="DN897" s="609"/>
      <c r="DO897" s="609"/>
      <c r="DP897" s="609"/>
      <c r="DQ897" s="609"/>
      <c r="DR897" s="609"/>
      <c r="DS897" s="609"/>
      <c r="DT897" s="609"/>
      <c r="DU897" s="609"/>
      <c r="DV897" s="609"/>
      <c r="DW897" s="609"/>
      <c r="DX897" s="609"/>
      <c r="DY897" s="609"/>
      <c r="DZ897" s="609"/>
      <c r="EA897" s="609"/>
      <c r="EB897" s="609"/>
      <c r="EC897" s="609"/>
      <c r="ED897" s="609"/>
      <c r="EE897" s="609"/>
      <c r="EF897" s="609"/>
      <c r="EG897" s="609"/>
      <c r="EH897" s="609"/>
      <c r="EI897" s="609"/>
      <c r="EJ897" s="609"/>
      <c r="EK897" s="609"/>
      <c r="EL897" s="609"/>
      <c r="EM897" s="609"/>
      <c r="EN897" s="609"/>
      <c r="EO897" s="609"/>
      <c r="EP897" s="609"/>
      <c r="EQ897" s="609"/>
      <c r="ER897" s="609"/>
      <c r="ES897" s="609"/>
      <c r="ET897" s="609"/>
      <c r="EU897" s="609"/>
      <c r="EV897" s="609"/>
      <c r="EW897" s="609"/>
      <c r="EX897" s="609"/>
      <c r="EY897" s="609"/>
      <c r="EZ897" s="609"/>
      <c r="FA897" s="609"/>
      <c r="FB897" s="609"/>
      <c r="FC897" s="609"/>
      <c r="FD897" s="609"/>
      <c r="FE897" s="609"/>
      <c r="FF897" s="609"/>
      <c r="FG897" s="609"/>
      <c r="FH897" s="609"/>
      <c r="FI897" s="609"/>
      <c r="FJ897" s="609"/>
      <c r="FK897" s="609"/>
      <c r="FL897" s="609"/>
      <c r="FM897" s="609"/>
      <c r="FN897" s="609"/>
      <c r="FO897" s="609"/>
      <c r="FP897" s="609"/>
      <c r="FQ897" s="609"/>
      <c r="FR897" s="609"/>
      <c r="FS897" s="609"/>
      <c r="FT897" s="609"/>
      <c r="FU897" s="609"/>
      <c r="FV897" s="609"/>
      <c r="FW897" s="609"/>
      <c r="FX897" s="609"/>
      <c r="FY897" s="609"/>
      <c r="FZ897" s="609"/>
      <c r="GA897" s="609"/>
      <c r="GB897" s="609"/>
      <c r="GC897" s="609"/>
      <c r="GD897" s="609"/>
      <c r="GE897" s="609"/>
      <c r="GF897" s="609"/>
      <c r="GG897" s="609"/>
      <c r="GH897" s="609"/>
      <c r="GI897" s="609"/>
      <c r="GJ897" s="609"/>
      <c r="GK897" s="609"/>
      <c r="GL897" s="609"/>
      <c r="GM897" s="609"/>
      <c r="GN897" s="609"/>
      <c r="GO897" s="609"/>
      <c r="GP897" s="609"/>
      <c r="GQ897" s="609"/>
      <c r="GR897" s="609"/>
      <c r="GS897" s="609"/>
      <c r="GT897" s="609"/>
      <c r="GU897" s="609"/>
      <c r="GV897" s="609"/>
      <c r="GW897" s="609"/>
      <c r="GX897" s="609"/>
      <c r="GY897" s="609"/>
      <c r="GZ897" s="609"/>
      <c r="HA897" s="609"/>
      <c r="HB897" s="609"/>
      <c r="HC897" s="609"/>
      <c r="HD897" s="609"/>
      <c r="HE897" s="609"/>
      <c r="HF897" s="609"/>
      <c r="HG897" s="609"/>
      <c r="HH897" s="609"/>
      <c r="HI897" s="609"/>
      <c r="HJ897" s="609"/>
      <c r="HK897" s="609"/>
      <c r="HL897" s="609"/>
      <c r="HM897" s="609"/>
      <c r="HN897" s="609"/>
      <c r="HO897" s="609"/>
      <c r="HP897" s="609"/>
      <c r="HQ897" s="609"/>
      <c r="HR897" s="609"/>
      <c r="HS897" s="609"/>
      <c r="HT897" s="609"/>
      <c r="HU897" s="609"/>
      <c r="HV897" s="609"/>
      <c r="HW897" s="609"/>
      <c r="HX897" s="609"/>
      <c r="HY897" s="609"/>
      <c r="HZ897" s="609"/>
      <c r="IA897" s="609"/>
      <c r="IB897" s="609"/>
      <c r="IC897" s="609"/>
      <c r="ID897" s="609"/>
      <c r="IE897" s="609"/>
      <c r="IF897" s="609"/>
      <c r="IG897" s="609"/>
      <c r="IH897" s="609"/>
      <c r="II897" s="609"/>
      <c r="IJ897" s="609"/>
      <c r="IK897" s="609"/>
      <c r="IL897" s="609"/>
      <c r="IM897" s="609"/>
      <c r="IN897" s="609"/>
      <c r="IO897" s="609"/>
      <c r="IP897" s="609"/>
      <c r="IQ897" s="609"/>
      <c r="IR897" s="609"/>
      <c r="IS897" s="609"/>
      <c r="IT897" s="609"/>
      <c r="IU897" s="609"/>
      <c r="IV897" s="609"/>
    </row>
    <row r="898" spans="1:256" s="642" customFormat="1" x14ac:dyDescent="0.25">
      <c r="A898" s="678" t="s">
        <v>277</v>
      </c>
      <c r="B898" s="679">
        <v>6111</v>
      </c>
      <c r="C898" s="678"/>
      <c r="D898" s="680" t="s">
        <v>207</v>
      </c>
      <c r="E898" s="636" t="s">
        <v>229</v>
      </c>
      <c r="F898" s="612">
        <v>13</v>
      </c>
      <c r="G898" s="681">
        <v>8.92</v>
      </c>
      <c r="H898" s="612"/>
      <c r="I898" s="612"/>
      <c r="J898" s="674">
        <f>ROUND(F898*G898,2)</f>
        <v>115.96</v>
      </c>
      <c r="K898" s="682"/>
      <c r="L898" s="612"/>
      <c r="M898" s="612"/>
      <c r="N898" s="612"/>
      <c r="O898" s="612"/>
      <c r="P898" s="612"/>
      <c r="Q898" s="609"/>
      <c r="R898" s="609"/>
      <c r="S898" s="609"/>
      <c r="T898" s="609"/>
      <c r="U898" s="609"/>
      <c r="V898" s="609"/>
      <c r="W898" s="609"/>
      <c r="X898" s="609"/>
      <c r="Y898" s="609"/>
      <c r="Z898" s="609"/>
      <c r="AA898" s="609"/>
      <c r="AB898" s="609"/>
      <c r="AC898" s="609"/>
      <c r="AD898" s="609"/>
      <c r="AE898" s="609"/>
      <c r="AF898" s="609"/>
      <c r="AG898" s="609"/>
      <c r="AH898" s="609"/>
      <c r="AI898" s="609"/>
      <c r="AJ898" s="609"/>
      <c r="AK898" s="609"/>
      <c r="AL898" s="609"/>
      <c r="AM898" s="609"/>
      <c r="AN898" s="609"/>
      <c r="AO898" s="609"/>
      <c r="AP898" s="609"/>
      <c r="AQ898" s="609"/>
      <c r="AR898" s="609"/>
      <c r="AS898" s="609"/>
      <c r="AT898" s="609"/>
      <c r="AU898" s="609"/>
      <c r="AV898" s="609"/>
      <c r="AW898" s="609"/>
      <c r="AX898" s="609"/>
      <c r="AY898" s="609"/>
      <c r="AZ898" s="609"/>
      <c r="BA898" s="609"/>
      <c r="BB898" s="609"/>
      <c r="BC898" s="609"/>
      <c r="BD898" s="609"/>
      <c r="BE898" s="609"/>
      <c r="BF898" s="609"/>
      <c r="BG898" s="609"/>
      <c r="BH898" s="609"/>
      <c r="BI898" s="609"/>
      <c r="BJ898" s="609"/>
      <c r="BK898" s="609"/>
      <c r="BL898" s="609"/>
      <c r="BM898" s="609"/>
      <c r="BN898" s="609"/>
      <c r="BO898" s="609"/>
      <c r="BP898" s="609"/>
      <c r="BQ898" s="609"/>
      <c r="BR898" s="609"/>
      <c r="BS898" s="609"/>
      <c r="BT898" s="609"/>
      <c r="BU898" s="609"/>
      <c r="BV898" s="609"/>
      <c r="BW898" s="609"/>
      <c r="BX898" s="609"/>
      <c r="BY898" s="609"/>
      <c r="BZ898" s="609"/>
      <c r="CA898" s="609"/>
      <c r="CB898" s="609"/>
      <c r="CC898" s="609"/>
      <c r="CD898" s="609"/>
      <c r="CE898" s="609"/>
      <c r="CF898" s="609"/>
      <c r="CG898" s="609"/>
      <c r="CH898" s="609"/>
      <c r="CI898" s="609"/>
      <c r="CJ898" s="609"/>
      <c r="CK898" s="609"/>
      <c r="CL898" s="609"/>
      <c r="CM898" s="609"/>
      <c r="CN898" s="609"/>
      <c r="CO898" s="609"/>
      <c r="CP898" s="609"/>
      <c r="CQ898" s="609"/>
      <c r="CR898" s="609"/>
      <c r="CS898" s="609"/>
      <c r="CT898" s="609"/>
      <c r="CU898" s="609"/>
      <c r="CV898" s="609"/>
      <c r="CW898" s="609"/>
      <c r="CX898" s="609"/>
      <c r="CY898" s="609"/>
      <c r="CZ898" s="609"/>
      <c r="DA898" s="609"/>
      <c r="DB898" s="609"/>
      <c r="DC898" s="609"/>
      <c r="DD898" s="609"/>
      <c r="DE898" s="609"/>
      <c r="DF898" s="609"/>
      <c r="DG898" s="609"/>
      <c r="DH898" s="609"/>
      <c r="DI898" s="609"/>
      <c r="DJ898" s="609"/>
      <c r="DK898" s="609"/>
      <c r="DL898" s="609"/>
      <c r="DM898" s="609"/>
      <c r="DN898" s="609"/>
      <c r="DO898" s="609"/>
      <c r="DP898" s="609"/>
      <c r="DQ898" s="609"/>
      <c r="DR898" s="609"/>
      <c r="DS898" s="609"/>
      <c r="DT898" s="609"/>
      <c r="DU898" s="609"/>
      <c r="DV898" s="609"/>
      <c r="DW898" s="609"/>
      <c r="DX898" s="609"/>
      <c r="DY898" s="609"/>
      <c r="DZ898" s="609"/>
      <c r="EA898" s="609"/>
      <c r="EB898" s="609"/>
      <c r="EC898" s="609"/>
      <c r="ED898" s="609"/>
      <c r="EE898" s="609"/>
      <c r="EF898" s="609"/>
      <c r="EG898" s="609"/>
      <c r="EH898" s="609"/>
      <c r="EI898" s="609"/>
      <c r="EJ898" s="609"/>
      <c r="EK898" s="609"/>
      <c r="EL898" s="609"/>
      <c r="EM898" s="609"/>
      <c r="EN898" s="609"/>
      <c r="EO898" s="609"/>
      <c r="EP898" s="609"/>
      <c r="EQ898" s="609"/>
      <c r="ER898" s="609"/>
      <c r="ES898" s="609"/>
      <c r="ET898" s="609"/>
      <c r="EU898" s="609"/>
      <c r="EV898" s="609"/>
      <c r="EW898" s="609"/>
      <c r="EX898" s="609"/>
      <c r="EY898" s="609"/>
      <c r="EZ898" s="609"/>
      <c r="FA898" s="609"/>
      <c r="FB898" s="609"/>
      <c r="FC898" s="609"/>
      <c r="FD898" s="609"/>
      <c r="FE898" s="609"/>
      <c r="FF898" s="609"/>
      <c r="FG898" s="609"/>
      <c r="FH898" s="609"/>
      <c r="FI898" s="609"/>
      <c r="FJ898" s="609"/>
      <c r="FK898" s="609"/>
      <c r="FL898" s="609"/>
      <c r="FM898" s="609"/>
      <c r="FN898" s="609"/>
      <c r="FO898" s="609"/>
      <c r="FP898" s="609"/>
      <c r="FQ898" s="609"/>
      <c r="FR898" s="609"/>
      <c r="FS898" s="609"/>
      <c r="FT898" s="609"/>
      <c r="FU898" s="609"/>
      <c r="FV898" s="609"/>
      <c r="FW898" s="609"/>
      <c r="FX898" s="609"/>
      <c r="FY898" s="609"/>
      <c r="FZ898" s="609"/>
      <c r="GA898" s="609"/>
      <c r="GB898" s="609"/>
      <c r="GC898" s="609"/>
      <c r="GD898" s="609"/>
      <c r="GE898" s="609"/>
      <c r="GF898" s="609"/>
      <c r="GG898" s="609"/>
      <c r="GH898" s="609"/>
      <c r="GI898" s="609"/>
      <c r="GJ898" s="609"/>
      <c r="GK898" s="609"/>
      <c r="GL898" s="609"/>
      <c r="GM898" s="609"/>
      <c r="GN898" s="609"/>
      <c r="GO898" s="609"/>
      <c r="GP898" s="609"/>
      <c r="GQ898" s="609"/>
      <c r="GR898" s="609"/>
      <c r="GS898" s="609"/>
      <c r="GT898" s="609"/>
      <c r="GU898" s="609"/>
      <c r="GV898" s="609"/>
      <c r="GW898" s="609"/>
      <c r="GX898" s="609"/>
      <c r="GY898" s="609"/>
      <c r="GZ898" s="609"/>
      <c r="HA898" s="609"/>
      <c r="HB898" s="609"/>
      <c r="HC898" s="609"/>
      <c r="HD898" s="609"/>
      <c r="HE898" s="609"/>
      <c r="HF898" s="609"/>
      <c r="HG898" s="609"/>
      <c r="HH898" s="609"/>
      <c r="HI898" s="609"/>
      <c r="HJ898" s="609"/>
      <c r="HK898" s="609"/>
      <c r="HL898" s="609"/>
      <c r="HM898" s="609"/>
      <c r="HN898" s="609"/>
      <c r="HO898" s="609"/>
      <c r="HP898" s="609"/>
      <c r="HQ898" s="609"/>
      <c r="HR898" s="609"/>
      <c r="HS898" s="609"/>
      <c r="HT898" s="609"/>
      <c r="HU898" s="609"/>
      <c r="HV898" s="609"/>
      <c r="HW898" s="609"/>
      <c r="HX898" s="609"/>
      <c r="HY898" s="609"/>
      <c r="HZ898" s="609"/>
      <c r="IA898" s="609"/>
      <c r="IB898" s="609"/>
      <c r="IC898" s="609"/>
      <c r="ID898" s="609"/>
      <c r="IE898" s="609"/>
      <c r="IF898" s="609"/>
      <c r="IG898" s="609"/>
      <c r="IH898" s="609"/>
      <c r="II898" s="609"/>
      <c r="IJ898" s="609"/>
      <c r="IK898" s="609"/>
      <c r="IL898" s="609"/>
      <c r="IM898" s="609"/>
      <c r="IN898" s="609"/>
      <c r="IO898" s="609"/>
      <c r="IP898" s="609"/>
      <c r="IQ898" s="609"/>
      <c r="IR898" s="609"/>
      <c r="IS898" s="609"/>
      <c r="IT898" s="609"/>
      <c r="IU898" s="609"/>
      <c r="IV898" s="609"/>
    </row>
    <row r="899" spans="1:256" s="642" customFormat="1" ht="12" customHeight="1" x14ac:dyDescent="0.25">
      <c r="A899" s="678"/>
      <c r="B899" s="678"/>
      <c r="C899" s="678"/>
      <c r="D899" s="680"/>
      <c r="E899" s="678"/>
      <c r="F899" s="683"/>
      <c r="G899" s="681" t="s">
        <v>1668</v>
      </c>
      <c r="H899" s="683"/>
      <c r="I899" s="683"/>
      <c r="J899" s="684"/>
      <c r="K899" s="684"/>
      <c r="L899" s="685"/>
      <c r="M899" s="685"/>
      <c r="N899" s="685"/>
      <c r="O899" s="685"/>
      <c r="P899" s="685"/>
      <c r="Q899" s="656"/>
      <c r="R899" s="656"/>
      <c r="S899" s="656"/>
      <c r="T899" s="656"/>
      <c r="U899" s="656"/>
      <c r="V899" s="656"/>
      <c r="W899" s="656"/>
      <c r="X899" s="656"/>
      <c r="Y899" s="656"/>
      <c r="Z899" s="656"/>
      <c r="AA899" s="656"/>
      <c r="AB899" s="656"/>
      <c r="AC899" s="656"/>
      <c r="AD899" s="656"/>
      <c r="AE899" s="656"/>
      <c r="AF899" s="656"/>
      <c r="AG899" s="656"/>
      <c r="AH899" s="656"/>
      <c r="AI899" s="656"/>
      <c r="AJ899" s="656"/>
      <c r="AK899" s="656"/>
      <c r="AL899" s="656"/>
      <c r="AM899" s="656"/>
      <c r="AN899" s="656"/>
      <c r="AO899" s="656"/>
      <c r="AP899" s="656"/>
      <c r="AQ899" s="656"/>
      <c r="AR899" s="656"/>
      <c r="AS899" s="656"/>
      <c r="AT899" s="656"/>
      <c r="AU899" s="656"/>
      <c r="AV899" s="656"/>
      <c r="AW899" s="656"/>
      <c r="AX899" s="656"/>
      <c r="AY899" s="656"/>
      <c r="AZ899" s="656"/>
      <c r="BA899" s="656"/>
      <c r="BB899" s="656"/>
      <c r="BC899" s="656"/>
      <c r="BD899" s="656"/>
      <c r="BE899" s="656"/>
      <c r="BF899" s="656"/>
      <c r="BG899" s="656"/>
      <c r="BH899" s="656"/>
      <c r="BI899" s="656"/>
      <c r="BJ899" s="656"/>
      <c r="BK899" s="656"/>
      <c r="BL899" s="656"/>
      <c r="BM899" s="656"/>
      <c r="BN899" s="656"/>
      <c r="BO899" s="656"/>
      <c r="BP899" s="656"/>
      <c r="BQ899" s="656"/>
      <c r="BR899" s="656"/>
      <c r="BS899" s="656"/>
      <c r="BT899" s="656"/>
      <c r="BU899" s="656"/>
      <c r="BV899" s="656"/>
      <c r="BW899" s="656"/>
      <c r="BX899" s="656"/>
      <c r="BY899" s="656"/>
      <c r="BZ899" s="656"/>
      <c r="CA899" s="656"/>
      <c r="CB899" s="656"/>
      <c r="CC899" s="656"/>
      <c r="CD899" s="656"/>
      <c r="CE899" s="656"/>
      <c r="CF899" s="656"/>
      <c r="CG899" s="656"/>
      <c r="CH899" s="656"/>
      <c r="CI899" s="656"/>
      <c r="CJ899" s="656"/>
      <c r="CK899" s="656"/>
      <c r="CL899" s="656"/>
      <c r="CM899" s="656"/>
      <c r="CN899" s="656"/>
      <c r="CO899" s="656"/>
      <c r="CP899" s="656"/>
      <c r="CQ899" s="656"/>
      <c r="CR899" s="656"/>
      <c r="CS899" s="656"/>
      <c r="CT899" s="656"/>
      <c r="CU899" s="656"/>
      <c r="CV899" s="656"/>
      <c r="CW899" s="656"/>
      <c r="CX899" s="656"/>
      <c r="CY899" s="656"/>
      <c r="CZ899" s="656"/>
      <c r="DA899" s="656"/>
      <c r="DB899" s="656"/>
      <c r="DC899" s="656"/>
      <c r="DD899" s="656"/>
      <c r="DE899" s="656"/>
      <c r="DF899" s="656"/>
      <c r="DG899" s="656"/>
      <c r="DH899" s="656"/>
      <c r="DI899" s="656"/>
      <c r="DJ899" s="656"/>
      <c r="DK899" s="656"/>
      <c r="DL899" s="656"/>
      <c r="DM899" s="656"/>
      <c r="DN899" s="656"/>
      <c r="DO899" s="656"/>
      <c r="DP899" s="656"/>
      <c r="DQ899" s="656"/>
      <c r="DR899" s="656"/>
      <c r="DS899" s="656"/>
      <c r="DT899" s="656"/>
      <c r="DU899" s="656"/>
      <c r="DV899" s="656"/>
      <c r="DW899" s="656"/>
      <c r="DX899" s="656"/>
      <c r="DY899" s="656"/>
      <c r="DZ899" s="656"/>
      <c r="EA899" s="656"/>
      <c r="EB899" s="656"/>
      <c r="EC899" s="656"/>
      <c r="ED899" s="656"/>
      <c r="EE899" s="656"/>
      <c r="EF899" s="656"/>
      <c r="EG899" s="656"/>
      <c r="EH899" s="656"/>
      <c r="EI899" s="656"/>
      <c r="EJ899" s="656"/>
      <c r="EK899" s="656"/>
      <c r="EL899" s="656"/>
      <c r="EM899" s="656"/>
      <c r="EN899" s="656"/>
      <c r="EO899" s="656"/>
      <c r="EP899" s="656"/>
      <c r="EQ899" s="656"/>
      <c r="ER899" s="656"/>
      <c r="ES899" s="656"/>
      <c r="ET899" s="656"/>
      <c r="EU899" s="656"/>
      <c r="EV899" s="656"/>
      <c r="EW899" s="656"/>
      <c r="EX899" s="656"/>
      <c r="EY899" s="656"/>
      <c r="EZ899" s="656"/>
      <c r="FA899" s="656"/>
      <c r="FB899" s="656"/>
      <c r="FC899" s="656"/>
      <c r="FD899" s="656"/>
      <c r="FE899" s="656"/>
      <c r="FF899" s="656"/>
      <c r="FG899" s="656"/>
      <c r="FH899" s="656"/>
      <c r="FI899" s="656"/>
      <c r="FJ899" s="656"/>
      <c r="FK899" s="656"/>
      <c r="FL899" s="656"/>
      <c r="FM899" s="656"/>
      <c r="FN899" s="656"/>
      <c r="FO899" s="656"/>
      <c r="FP899" s="656"/>
      <c r="FQ899" s="656"/>
      <c r="FR899" s="656"/>
      <c r="FS899" s="656"/>
      <c r="FT899" s="656"/>
      <c r="FU899" s="656"/>
      <c r="FV899" s="656"/>
      <c r="FW899" s="656"/>
      <c r="FX899" s="656"/>
      <c r="FY899" s="656"/>
      <c r="FZ899" s="656"/>
      <c r="GA899" s="656"/>
      <c r="GB899" s="656"/>
      <c r="GC899" s="656"/>
      <c r="GD899" s="656"/>
      <c r="GE899" s="656"/>
      <c r="GF899" s="656"/>
      <c r="GG899" s="656"/>
      <c r="GH899" s="656"/>
      <c r="GI899" s="656"/>
      <c r="GJ899" s="656"/>
      <c r="GK899" s="656"/>
      <c r="GL899" s="656"/>
      <c r="GM899" s="656"/>
      <c r="GN899" s="656"/>
      <c r="GO899" s="656"/>
      <c r="GP899" s="656"/>
      <c r="GQ899" s="656"/>
      <c r="GR899" s="656"/>
      <c r="GS899" s="656"/>
      <c r="GT899" s="656"/>
      <c r="GU899" s="656"/>
      <c r="GV899" s="656"/>
      <c r="GW899" s="656"/>
      <c r="GX899" s="656"/>
      <c r="GY899" s="656"/>
      <c r="GZ899" s="656"/>
      <c r="HA899" s="656"/>
      <c r="HB899" s="656"/>
      <c r="HC899" s="656"/>
      <c r="HD899" s="656"/>
      <c r="HE899" s="656"/>
      <c r="HF899" s="656"/>
      <c r="HG899" s="656"/>
      <c r="HH899" s="656"/>
      <c r="HI899" s="656"/>
      <c r="HJ899" s="656"/>
      <c r="HK899" s="656"/>
      <c r="HL899" s="656"/>
      <c r="HM899" s="656"/>
      <c r="HN899" s="656"/>
      <c r="HO899" s="656"/>
      <c r="HP899" s="656"/>
      <c r="HQ899" s="656"/>
      <c r="HR899" s="656"/>
      <c r="HS899" s="656"/>
      <c r="HT899" s="656"/>
      <c r="HU899" s="656"/>
      <c r="HV899" s="656"/>
      <c r="HW899" s="656"/>
      <c r="HX899" s="656"/>
      <c r="HY899" s="656"/>
      <c r="HZ899" s="656"/>
      <c r="IA899" s="656"/>
      <c r="IB899" s="656"/>
      <c r="IC899" s="656"/>
      <c r="ID899" s="656"/>
      <c r="IE899" s="656"/>
      <c r="IF899" s="656"/>
      <c r="IG899" s="656"/>
      <c r="IH899" s="656"/>
      <c r="II899" s="656"/>
      <c r="IJ899" s="656"/>
      <c r="IK899" s="656"/>
      <c r="IL899" s="656"/>
      <c r="IM899" s="656"/>
      <c r="IN899" s="656"/>
      <c r="IO899" s="656"/>
      <c r="IP899" s="656"/>
      <c r="IQ899" s="656"/>
      <c r="IR899" s="656"/>
      <c r="IS899" s="656"/>
      <c r="IT899" s="656"/>
      <c r="IU899" s="656"/>
      <c r="IV899" s="656"/>
    </row>
    <row r="900" spans="1:256" s="642" customFormat="1" x14ac:dyDescent="0.25">
      <c r="A900" s="637"/>
      <c r="B900" s="637"/>
      <c r="C900" s="637" t="s">
        <v>1669</v>
      </c>
      <c r="D900" s="639" t="s">
        <v>1247</v>
      </c>
      <c r="E900" s="637"/>
      <c r="F900" s="639"/>
      <c r="G900" s="640"/>
      <c r="H900" s="639"/>
      <c r="I900" s="653"/>
      <c r="J900" s="653"/>
      <c r="K900" s="653"/>
      <c r="L900" s="654"/>
      <c r="M900" s="654"/>
      <c r="N900" s="655"/>
      <c r="O900" s="655"/>
      <c r="P900" s="655">
        <f>SUM(P902:P970)</f>
        <v>6503.0035679999992</v>
      </c>
      <c r="Q900" s="656"/>
      <c r="R900" s="656"/>
      <c r="S900" s="656"/>
      <c r="T900" s="656"/>
      <c r="U900" s="656"/>
      <c r="V900" s="656"/>
      <c r="W900" s="656"/>
      <c r="X900" s="656"/>
      <c r="Y900" s="656"/>
      <c r="Z900" s="656"/>
      <c r="AA900" s="656"/>
      <c r="AB900" s="656"/>
      <c r="AC900" s="656"/>
      <c r="AD900" s="656"/>
      <c r="AE900" s="656"/>
      <c r="AF900" s="656"/>
      <c r="AG900" s="656"/>
      <c r="AH900" s="656"/>
      <c r="AI900" s="656"/>
      <c r="AJ900" s="656"/>
      <c r="AK900" s="656"/>
      <c r="AL900" s="656"/>
      <c r="AM900" s="656"/>
      <c r="AN900" s="656"/>
      <c r="AO900" s="656"/>
      <c r="AP900" s="656"/>
      <c r="AQ900" s="656"/>
      <c r="AR900" s="656"/>
      <c r="AS900" s="656"/>
      <c r="AT900" s="656"/>
      <c r="AU900" s="656"/>
      <c r="AV900" s="656"/>
      <c r="AW900" s="656"/>
      <c r="AX900" s="656"/>
      <c r="AY900" s="656"/>
      <c r="AZ900" s="656"/>
      <c r="BA900" s="656"/>
      <c r="BB900" s="656"/>
      <c r="BC900" s="656"/>
      <c r="BD900" s="656"/>
      <c r="BE900" s="656"/>
      <c r="BF900" s="656"/>
      <c r="BG900" s="656"/>
      <c r="BH900" s="656"/>
      <c r="BI900" s="656"/>
      <c r="BJ900" s="656"/>
      <c r="BK900" s="656"/>
      <c r="BL900" s="656"/>
      <c r="BM900" s="656"/>
      <c r="BN900" s="656"/>
      <c r="BO900" s="656"/>
      <c r="BP900" s="656"/>
      <c r="BQ900" s="656"/>
      <c r="BR900" s="656"/>
      <c r="BS900" s="656"/>
      <c r="BT900" s="656"/>
      <c r="BU900" s="656"/>
      <c r="BV900" s="656"/>
      <c r="BW900" s="656"/>
      <c r="BX900" s="656"/>
      <c r="BY900" s="656"/>
      <c r="BZ900" s="656"/>
      <c r="CA900" s="656"/>
      <c r="CB900" s="656"/>
      <c r="CC900" s="656"/>
      <c r="CD900" s="656"/>
      <c r="CE900" s="656"/>
      <c r="CF900" s="656"/>
      <c r="CG900" s="656"/>
      <c r="CH900" s="656"/>
      <c r="CI900" s="656"/>
      <c r="CJ900" s="656"/>
      <c r="CK900" s="656"/>
      <c r="CL900" s="656"/>
      <c r="CM900" s="656"/>
      <c r="CN900" s="656"/>
      <c r="CO900" s="656"/>
      <c r="CP900" s="656"/>
      <c r="CQ900" s="656"/>
      <c r="CR900" s="656"/>
      <c r="CS900" s="656"/>
      <c r="CT900" s="656"/>
      <c r="CU900" s="656"/>
      <c r="CV900" s="656"/>
      <c r="CW900" s="656"/>
      <c r="CX900" s="656"/>
      <c r="CY900" s="656"/>
      <c r="CZ900" s="656"/>
      <c r="DA900" s="656"/>
      <c r="DB900" s="656"/>
      <c r="DC900" s="656"/>
      <c r="DD900" s="656"/>
      <c r="DE900" s="656"/>
      <c r="DF900" s="656"/>
      <c r="DG900" s="656"/>
      <c r="DH900" s="656"/>
      <c r="DI900" s="656"/>
      <c r="DJ900" s="656"/>
      <c r="DK900" s="656"/>
      <c r="DL900" s="656"/>
      <c r="DM900" s="656"/>
      <c r="DN900" s="656"/>
      <c r="DO900" s="656"/>
      <c r="DP900" s="656"/>
      <c r="DQ900" s="656"/>
      <c r="DR900" s="656"/>
      <c r="DS900" s="656"/>
      <c r="DT900" s="656"/>
      <c r="DU900" s="656"/>
      <c r="DV900" s="656"/>
      <c r="DW900" s="656"/>
      <c r="DX900" s="656"/>
      <c r="DY900" s="656"/>
      <c r="DZ900" s="656"/>
      <c r="EA900" s="656"/>
      <c r="EB900" s="656"/>
      <c r="EC900" s="656"/>
      <c r="ED900" s="656"/>
      <c r="EE900" s="656"/>
      <c r="EF900" s="656"/>
      <c r="EG900" s="656"/>
      <c r="EH900" s="656"/>
      <c r="EI900" s="656"/>
      <c r="EJ900" s="656"/>
      <c r="EK900" s="656"/>
      <c r="EL900" s="656"/>
      <c r="EM900" s="656"/>
      <c r="EN900" s="656"/>
      <c r="EO900" s="656"/>
      <c r="EP900" s="656"/>
      <c r="EQ900" s="656"/>
      <c r="ER900" s="656"/>
      <c r="ES900" s="656"/>
      <c r="ET900" s="656"/>
      <c r="EU900" s="656"/>
      <c r="EV900" s="656"/>
      <c r="EW900" s="656"/>
      <c r="EX900" s="656"/>
      <c r="EY900" s="656"/>
      <c r="EZ900" s="656"/>
      <c r="FA900" s="656"/>
      <c r="FB900" s="656"/>
      <c r="FC900" s="656"/>
      <c r="FD900" s="656"/>
      <c r="FE900" s="656"/>
      <c r="FF900" s="656"/>
      <c r="FG900" s="656"/>
      <c r="FH900" s="656"/>
      <c r="FI900" s="656"/>
      <c r="FJ900" s="656"/>
      <c r="FK900" s="656"/>
      <c r="FL900" s="656"/>
      <c r="FM900" s="656"/>
      <c r="FN900" s="656"/>
      <c r="FO900" s="656"/>
      <c r="FP900" s="656"/>
      <c r="FQ900" s="656"/>
      <c r="FR900" s="656"/>
      <c r="FS900" s="656"/>
      <c r="FT900" s="656"/>
      <c r="FU900" s="656"/>
      <c r="FV900" s="656"/>
      <c r="FW900" s="656"/>
      <c r="FX900" s="656"/>
      <c r="FY900" s="656"/>
      <c r="FZ900" s="656"/>
      <c r="GA900" s="656"/>
      <c r="GB900" s="656"/>
      <c r="GC900" s="656"/>
      <c r="GD900" s="656"/>
      <c r="GE900" s="656"/>
      <c r="GF900" s="656"/>
      <c r="GG900" s="656"/>
      <c r="GH900" s="656"/>
      <c r="GI900" s="656"/>
      <c r="GJ900" s="656"/>
      <c r="GK900" s="656"/>
      <c r="GL900" s="656"/>
      <c r="GM900" s="656"/>
      <c r="GN900" s="656"/>
      <c r="GO900" s="656"/>
      <c r="GP900" s="656"/>
      <c r="GQ900" s="656"/>
      <c r="GR900" s="656"/>
      <c r="GS900" s="656"/>
      <c r="GT900" s="656"/>
      <c r="GU900" s="656"/>
      <c r="GV900" s="656"/>
      <c r="GW900" s="656"/>
      <c r="GX900" s="656"/>
      <c r="GY900" s="656"/>
      <c r="GZ900" s="656"/>
      <c r="HA900" s="656"/>
      <c r="HB900" s="656"/>
      <c r="HC900" s="656"/>
      <c r="HD900" s="656"/>
      <c r="HE900" s="656"/>
      <c r="HF900" s="656"/>
      <c r="HG900" s="656"/>
      <c r="HH900" s="656"/>
      <c r="HI900" s="656"/>
      <c r="HJ900" s="656"/>
      <c r="HK900" s="656"/>
      <c r="HL900" s="656"/>
      <c r="HM900" s="656"/>
      <c r="HN900" s="656"/>
      <c r="HO900" s="656"/>
      <c r="HP900" s="656"/>
      <c r="HQ900" s="656"/>
      <c r="HR900" s="656"/>
      <c r="HS900" s="656"/>
      <c r="HT900" s="656"/>
      <c r="HU900" s="656"/>
      <c r="HV900" s="656"/>
      <c r="HW900" s="656"/>
      <c r="HX900" s="656"/>
      <c r="HY900" s="656"/>
      <c r="HZ900" s="656"/>
      <c r="IA900" s="656"/>
      <c r="IB900" s="656"/>
      <c r="IC900" s="656"/>
      <c r="ID900" s="656"/>
      <c r="IE900" s="656"/>
      <c r="IF900" s="656"/>
      <c r="IG900" s="656"/>
      <c r="IH900" s="656"/>
      <c r="II900" s="656"/>
      <c r="IJ900" s="656"/>
      <c r="IK900" s="656"/>
      <c r="IL900" s="656"/>
      <c r="IM900" s="656"/>
      <c r="IN900" s="656"/>
      <c r="IO900" s="656"/>
      <c r="IP900" s="656"/>
      <c r="IQ900" s="656"/>
      <c r="IR900" s="656"/>
      <c r="IS900" s="656"/>
      <c r="IT900" s="656"/>
      <c r="IU900" s="656"/>
      <c r="IV900" s="656"/>
    </row>
    <row r="901" spans="1:256" s="642" customFormat="1" x14ac:dyDescent="0.25">
      <c r="A901" s="678"/>
      <c r="B901" s="678"/>
      <c r="C901" s="678"/>
      <c r="D901" s="658" t="s">
        <v>1670</v>
      </c>
      <c r="E901" s="678"/>
      <c r="F901" s="683"/>
      <c r="G901" s="684"/>
      <c r="H901" s="683"/>
      <c r="I901" s="683"/>
      <c r="J901" s="683"/>
      <c r="K901" s="683"/>
      <c r="L901" s="683"/>
      <c r="M901" s="683"/>
      <c r="N901" s="683"/>
      <c r="O901" s="683"/>
      <c r="P901" s="683"/>
    </row>
    <row r="902" spans="1:256" s="642" customFormat="1" ht="24" x14ac:dyDescent="0.25">
      <c r="A902" s="662"/>
      <c r="B902" s="662"/>
      <c r="C902" s="686" t="s">
        <v>1671</v>
      </c>
      <c r="D902" s="630" t="s">
        <v>1250</v>
      </c>
      <c r="E902" s="631" t="s">
        <v>251</v>
      </c>
      <c r="F902" s="632"/>
      <c r="G902" s="664"/>
      <c r="H902" s="632">
        <v>45</v>
      </c>
      <c r="I902" s="676">
        <f>SUM(I903:I905)</f>
        <v>0.79</v>
      </c>
      <c r="J902" s="676">
        <f>SUM(J903:J905)</f>
        <v>3.34</v>
      </c>
      <c r="K902" s="676">
        <f>I902+J902</f>
        <v>4.13</v>
      </c>
      <c r="L902" s="622">
        <f>H902*I902</f>
        <v>35.550000000000004</v>
      </c>
      <c r="M902" s="622">
        <f>H902*J902</f>
        <v>150.29999999999998</v>
      </c>
      <c r="N902" s="622">
        <f>L902+M902</f>
        <v>185.85</v>
      </c>
      <c r="O902" s="622">
        <f>N902*$P$4</f>
        <v>45.644759999999998</v>
      </c>
      <c r="P902" s="622">
        <f>N902+O902</f>
        <v>231.49475999999999</v>
      </c>
    </row>
    <row r="903" spans="1:256" s="642" customFormat="1" ht="24" x14ac:dyDescent="0.25">
      <c r="A903" s="687" t="s">
        <v>1225</v>
      </c>
      <c r="B903" s="687" t="s">
        <v>1251</v>
      </c>
      <c r="C903" s="667"/>
      <c r="D903" s="688" t="s">
        <v>1250</v>
      </c>
      <c r="E903" s="689" t="s">
        <v>251</v>
      </c>
      <c r="F903" s="645">
        <v>1</v>
      </c>
      <c r="G903" s="690">
        <v>0.79</v>
      </c>
      <c r="H903" s="672"/>
      <c r="I903" s="691">
        <f>ROUND(F903*G903,2)</f>
        <v>0.79</v>
      </c>
      <c r="J903" s="674"/>
      <c r="K903" s="674"/>
      <c r="L903" s="674"/>
      <c r="M903" s="674"/>
      <c r="N903" s="674"/>
      <c r="O903" s="674"/>
      <c r="P903" s="674"/>
    </row>
    <row r="904" spans="1:256" s="642" customFormat="1" x14ac:dyDescent="0.25">
      <c r="A904" s="678" t="s">
        <v>277</v>
      </c>
      <c r="B904" s="679">
        <v>2436</v>
      </c>
      <c r="C904" s="667"/>
      <c r="D904" s="668" t="s">
        <v>1069</v>
      </c>
      <c r="E904" s="669" t="s">
        <v>229</v>
      </c>
      <c r="F904" s="670">
        <v>0.15</v>
      </c>
      <c r="G904" s="681">
        <v>12.57</v>
      </c>
      <c r="H904" s="672"/>
      <c r="I904" s="673"/>
      <c r="J904" s="674">
        <f>ROUND(F904*G904,2)</f>
        <v>1.89</v>
      </c>
      <c r="K904" s="674"/>
      <c r="L904" s="674"/>
      <c r="M904" s="674"/>
      <c r="N904" s="674"/>
      <c r="O904" s="674"/>
      <c r="P904" s="674"/>
    </row>
    <row r="905" spans="1:256" s="642" customFormat="1" x14ac:dyDescent="0.25">
      <c r="A905" s="678" t="s">
        <v>277</v>
      </c>
      <c r="B905" s="679">
        <v>247</v>
      </c>
      <c r="C905" s="667"/>
      <c r="D905" s="668" t="s">
        <v>1070</v>
      </c>
      <c r="E905" s="669" t="s">
        <v>229</v>
      </c>
      <c r="F905" s="670">
        <v>0.15</v>
      </c>
      <c r="G905" s="681">
        <v>9.65</v>
      </c>
      <c r="H905" s="672"/>
      <c r="I905" s="673"/>
      <c r="J905" s="674">
        <f>ROUND(F905*G905,2)</f>
        <v>1.45</v>
      </c>
      <c r="K905" s="674"/>
      <c r="L905" s="674"/>
      <c r="M905" s="674"/>
      <c r="N905" s="674"/>
      <c r="O905" s="674"/>
      <c r="P905" s="674"/>
    </row>
    <row r="906" spans="1:256" s="642" customFormat="1" ht="24" x14ac:dyDescent="0.25">
      <c r="A906" s="662"/>
      <c r="B906" s="662"/>
      <c r="C906" s="686" t="s">
        <v>1672</v>
      </c>
      <c r="D906" s="630" t="s">
        <v>1256</v>
      </c>
      <c r="E906" s="631" t="s">
        <v>251</v>
      </c>
      <c r="F906" s="632"/>
      <c r="G906" s="664"/>
      <c r="H906" s="632">
        <v>3</v>
      </c>
      <c r="I906" s="676">
        <f>SUM(I907:I909)</f>
        <v>1.89</v>
      </c>
      <c r="J906" s="676">
        <f>SUM(J907:J909)</f>
        <v>3.34</v>
      </c>
      <c r="K906" s="676">
        <f>I906+J906</f>
        <v>5.2299999999999995</v>
      </c>
      <c r="L906" s="622">
        <f>H906*I906</f>
        <v>5.67</v>
      </c>
      <c r="M906" s="622">
        <f>H906*J906</f>
        <v>10.02</v>
      </c>
      <c r="N906" s="622">
        <f>L906+M906</f>
        <v>15.69</v>
      </c>
      <c r="O906" s="622">
        <f>N906*$P$4</f>
        <v>3.8534640000000002</v>
      </c>
      <c r="P906" s="622">
        <f>N906+O906</f>
        <v>19.543464</v>
      </c>
    </row>
    <row r="907" spans="1:256" s="642" customFormat="1" ht="24" x14ac:dyDescent="0.25">
      <c r="A907" s="687" t="s">
        <v>1225</v>
      </c>
      <c r="B907" s="687" t="s">
        <v>1257</v>
      </c>
      <c r="C907" s="667"/>
      <c r="D907" s="688" t="s">
        <v>1256</v>
      </c>
      <c r="E907" s="689" t="s">
        <v>251</v>
      </c>
      <c r="F907" s="645">
        <v>1</v>
      </c>
      <c r="G907" s="690">
        <v>1.89</v>
      </c>
      <c r="H907" s="672"/>
      <c r="I907" s="691">
        <f>ROUND(F907*G907,2)</f>
        <v>1.89</v>
      </c>
      <c r="J907" s="674"/>
      <c r="K907" s="674"/>
      <c r="L907" s="674"/>
      <c r="M907" s="674"/>
      <c r="N907" s="674"/>
      <c r="O907" s="674"/>
      <c r="P907" s="674"/>
    </row>
    <row r="908" spans="1:256" s="642" customFormat="1" x14ac:dyDescent="0.25">
      <c r="A908" s="678" t="s">
        <v>277</v>
      </c>
      <c r="B908" s="679">
        <v>2436</v>
      </c>
      <c r="C908" s="667"/>
      <c r="D908" s="668" t="s">
        <v>1069</v>
      </c>
      <c r="E908" s="669" t="s">
        <v>229</v>
      </c>
      <c r="F908" s="670">
        <v>0.15</v>
      </c>
      <c r="G908" s="681">
        <v>12.57</v>
      </c>
      <c r="H908" s="672"/>
      <c r="I908" s="673"/>
      <c r="J908" s="674">
        <f>ROUND(F908*G908,2)</f>
        <v>1.89</v>
      </c>
      <c r="K908" s="674"/>
      <c r="L908" s="674"/>
      <c r="M908" s="674"/>
      <c r="N908" s="674"/>
      <c r="O908" s="674"/>
      <c r="P908" s="674"/>
    </row>
    <row r="909" spans="1:256" s="642" customFormat="1" x14ac:dyDescent="0.25">
      <c r="A909" s="678" t="s">
        <v>277</v>
      </c>
      <c r="B909" s="679">
        <v>247</v>
      </c>
      <c r="C909" s="667"/>
      <c r="D909" s="668" t="s">
        <v>1070</v>
      </c>
      <c r="E909" s="669" t="s">
        <v>229</v>
      </c>
      <c r="F909" s="670">
        <v>0.15</v>
      </c>
      <c r="G909" s="681">
        <v>9.65</v>
      </c>
      <c r="H909" s="672"/>
      <c r="I909" s="673"/>
      <c r="J909" s="674">
        <f>ROUND(F909*G909,2)</f>
        <v>1.45</v>
      </c>
      <c r="K909" s="674"/>
      <c r="L909" s="674"/>
      <c r="M909" s="674"/>
      <c r="N909" s="674"/>
      <c r="O909" s="674"/>
      <c r="P909" s="674"/>
    </row>
    <row r="910" spans="1:256" s="642" customFormat="1" ht="24" x14ac:dyDescent="0.25">
      <c r="A910" s="662"/>
      <c r="B910" s="662"/>
      <c r="C910" s="686" t="s">
        <v>1673</v>
      </c>
      <c r="D910" s="630" t="s">
        <v>1253</v>
      </c>
      <c r="E910" s="631" t="s">
        <v>251</v>
      </c>
      <c r="F910" s="632"/>
      <c r="G910" s="664"/>
      <c r="H910" s="632">
        <v>7</v>
      </c>
      <c r="I910" s="676">
        <f>SUM(I911:I913)</f>
        <v>3.51</v>
      </c>
      <c r="J910" s="676">
        <f>SUM(J911:J913)</f>
        <v>3.34</v>
      </c>
      <c r="K910" s="676">
        <f>I910+J910</f>
        <v>6.85</v>
      </c>
      <c r="L910" s="622">
        <f>H910*I910</f>
        <v>24.57</v>
      </c>
      <c r="M910" s="622">
        <f>H910*J910</f>
        <v>23.38</v>
      </c>
      <c r="N910" s="622">
        <f>L910+M910</f>
        <v>47.95</v>
      </c>
      <c r="O910" s="622">
        <f>N910*$P$4</f>
        <v>11.776520000000001</v>
      </c>
      <c r="P910" s="622">
        <f>N910+O910</f>
        <v>59.726520000000008</v>
      </c>
    </row>
    <row r="911" spans="1:256" s="642" customFormat="1" ht="24" x14ac:dyDescent="0.25">
      <c r="A911" s="692" t="s">
        <v>1108</v>
      </c>
      <c r="B911" s="679"/>
      <c r="C911" s="634"/>
      <c r="D911" s="693" t="s">
        <v>1253</v>
      </c>
      <c r="E911" s="634" t="s">
        <v>251</v>
      </c>
      <c r="F911" s="635">
        <v>1</v>
      </c>
      <c r="G911" s="694">
        <v>3.51</v>
      </c>
      <c r="H911" s="635"/>
      <c r="I911" s="691">
        <f>ROUND(F911*G911,2)</f>
        <v>3.51</v>
      </c>
      <c r="J911" s="635"/>
      <c r="K911" s="635"/>
      <c r="L911" s="635"/>
      <c r="M911" s="635"/>
      <c r="N911" s="635"/>
      <c r="O911" s="635"/>
      <c r="P911" s="635"/>
    </row>
    <row r="912" spans="1:256" s="642" customFormat="1" x14ac:dyDescent="0.25">
      <c r="A912" s="678" t="s">
        <v>277</v>
      </c>
      <c r="B912" s="679">
        <v>2436</v>
      </c>
      <c r="C912" s="634"/>
      <c r="D912" s="635" t="s">
        <v>1069</v>
      </c>
      <c r="E912" s="634" t="s">
        <v>229</v>
      </c>
      <c r="F912" s="635">
        <v>0.15</v>
      </c>
      <c r="G912" s="681">
        <v>12.57</v>
      </c>
      <c r="H912" s="635"/>
      <c r="I912" s="635"/>
      <c r="J912" s="674">
        <f>ROUND(F912*G912,2)</f>
        <v>1.89</v>
      </c>
      <c r="K912" s="635"/>
      <c r="L912" s="635"/>
      <c r="M912" s="635"/>
      <c r="N912" s="635"/>
      <c r="O912" s="635"/>
      <c r="P912" s="635"/>
    </row>
    <row r="913" spans="1:256" s="642" customFormat="1" x14ac:dyDescent="0.25">
      <c r="A913" s="678" t="s">
        <v>277</v>
      </c>
      <c r="B913" s="679">
        <v>247</v>
      </c>
      <c r="C913" s="634"/>
      <c r="D913" s="635" t="s">
        <v>1070</v>
      </c>
      <c r="E913" s="634" t="s">
        <v>229</v>
      </c>
      <c r="F913" s="635">
        <v>0.15</v>
      </c>
      <c r="G913" s="681">
        <v>9.65</v>
      </c>
      <c r="H913" s="635"/>
      <c r="I913" s="635"/>
      <c r="J913" s="674">
        <f>ROUND(F913*G913,2)</f>
        <v>1.45</v>
      </c>
      <c r="K913" s="635"/>
      <c r="L913" s="635"/>
      <c r="M913" s="635"/>
      <c r="N913" s="635"/>
      <c r="O913" s="635"/>
      <c r="P913" s="635"/>
    </row>
    <row r="914" spans="1:256" s="642" customFormat="1" ht="24" x14ac:dyDescent="0.25">
      <c r="A914" s="675"/>
      <c r="B914" s="675"/>
      <c r="C914" s="675" t="s">
        <v>1674</v>
      </c>
      <c r="D914" s="620" t="s">
        <v>1261</v>
      </c>
      <c r="E914" s="675" t="s">
        <v>251</v>
      </c>
      <c r="F914" s="620"/>
      <c r="G914" s="622"/>
      <c r="H914" s="620">
        <v>7</v>
      </c>
      <c r="I914" s="676">
        <f>SUM(I915:I917)</f>
        <v>9.6</v>
      </c>
      <c r="J914" s="676">
        <f>SUM(J915:J917)</f>
        <v>15.56</v>
      </c>
      <c r="K914" s="677">
        <f>I914+J914</f>
        <v>25.16</v>
      </c>
      <c r="L914" s="622">
        <f>H914*I914</f>
        <v>67.2</v>
      </c>
      <c r="M914" s="622">
        <f>H914*J914</f>
        <v>108.92</v>
      </c>
      <c r="N914" s="622">
        <f>L914+M914</f>
        <v>176.12</v>
      </c>
      <c r="O914" s="622">
        <f>N914*$P$4</f>
        <v>43.255072000000006</v>
      </c>
      <c r="P914" s="622">
        <f>N914+O914</f>
        <v>219.37507200000002</v>
      </c>
      <c r="Q914" s="609"/>
      <c r="R914" s="609"/>
      <c r="S914" s="609"/>
      <c r="T914" s="609"/>
      <c r="U914" s="609"/>
      <c r="V914" s="609"/>
      <c r="W914" s="609"/>
      <c r="X914" s="609"/>
      <c r="Y914" s="609"/>
      <c r="Z914" s="609"/>
      <c r="AA914" s="609"/>
      <c r="AB914" s="609"/>
      <c r="AC914" s="609"/>
      <c r="AD914" s="609"/>
      <c r="AE914" s="609"/>
      <c r="AF914" s="609"/>
      <c r="AG914" s="609"/>
      <c r="AH914" s="609"/>
      <c r="AI914" s="609"/>
      <c r="AJ914" s="609"/>
      <c r="AK914" s="609"/>
      <c r="AL914" s="609"/>
      <c r="AM914" s="609"/>
      <c r="AN914" s="609"/>
      <c r="AO914" s="609"/>
      <c r="AP914" s="609"/>
      <c r="AQ914" s="609"/>
      <c r="AR914" s="609"/>
      <c r="AS914" s="609"/>
      <c r="AT914" s="609"/>
      <c r="AU914" s="609"/>
      <c r="AV914" s="609"/>
      <c r="AW914" s="609"/>
      <c r="AX914" s="609"/>
      <c r="AY914" s="609"/>
      <c r="AZ914" s="609"/>
      <c r="BA914" s="609"/>
      <c r="BB914" s="609"/>
      <c r="BC914" s="609"/>
      <c r="BD914" s="609"/>
      <c r="BE914" s="609"/>
      <c r="BF914" s="609"/>
      <c r="BG914" s="609"/>
      <c r="BH914" s="609"/>
      <c r="BI914" s="609"/>
      <c r="BJ914" s="609"/>
      <c r="BK914" s="609"/>
      <c r="BL914" s="609"/>
      <c r="BM914" s="609"/>
      <c r="BN914" s="609"/>
      <c r="BO914" s="609"/>
      <c r="BP914" s="609"/>
      <c r="BQ914" s="609"/>
      <c r="BR914" s="609"/>
      <c r="BS914" s="609"/>
      <c r="BT914" s="609"/>
      <c r="BU914" s="609"/>
      <c r="BV914" s="609"/>
      <c r="BW914" s="609"/>
      <c r="BX914" s="609"/>
      <c r="BY914" s="609"/>
      <c r="BZ914" s="609"/>
      <c r="CA914" s="609"/>
      <c r="CB914" s="609"/>
      <c r="CC914" s="609"/>
      <c r="CD914" s="609"/>
      <c r="CE914" s="609"/>
      <c r="CF914" s="609"/>
      <c r="CG914" s="609"/>
      <c r="CH914" s="609"/>
      <c r="CI914" s="609"/>
      <c r="CJ914" s="609"/>
      <c r="CK914" s="609"/>
      <c r="CL914" s="609"/>
      <c r="CM914" s="609"/>
      <c r="CN914" s="609"/>
      <c r="CO914" s="609"/>
      <c r="CP914" s="609"/>
      <c r="CQ914" s="609"/>
      <c r="CR914" s="609"/>
      <c r="CS914" s="609"/>
      <c r="CT914" s="609"/>
      <c r="CU914" s="609"/>
      <c r="CV914" s="609"/>
      <c r="CW914" s="609"/>
      <c r="CX914" s="609"/>
      <c r="CY914" s="609"/>
      <c r="CZ914" s="609"/>
      <c r="DA914" s="609"/>
      <c r="DB914" s="609"/>
      <c r="DC914" s="609"/>
      <c r="DD914" s="609"/>
      <c r="DE914" s="609"/>
      <c r="DF914" s="609"/>
      <c r="DG914" s="609"/>
      <c r="DH914" s="609"/>
      <c r="DI914" s="609"/>
      <c r="DJ914" s="609"/>
      <c r="DK914" s="609"/>
      <c r="DL914" s="609"/>
      <c r="DM914" s="609"/>
      <c r="DN914" s="609"/>
      <c r="DO914" s="609"/>
      <c r="DP914" s="609"/>
      <c r="DQ914" s="609"/>
      <c r="DR914" s="609"/>
      <c r="DS914" s="609"/>
      <c r="DT914" s="609"/>
      <c r="DU914" s="609"/>
      <c r="DV914" s="609"/>
      <c r="DW914" s="609"/>
      <c r="DX914" s="609"/>
      <c r="DY914" s="609"/>
      <c r="DZ914" s="609"/>
      <c r="EA914" s="609"/>
      <c r="EB914" s="609"/>
      <c r="EC914" s="609"/>
      <c r="ED914" s="609"/>
      <c r="EE914" s="609"/>
      <c r="EF914" s="609"/>
      <c r="EG914" s="609"/>
      <c r="EH914" s="609"/>
      <c r="EI914" s="609"/>
      <c r="EJ914" s="609"/>
      <c r="EK914" s="609"/>
      <c r="EL914" s="609"/>
      <c r="EM914" s="609"/>
      <c r="EN914" s="609"/>
      <c r="EO914" s="609"/>
      <c r="EP914" s="609"/>
      <c r="EQ914" s="609"/>
      <c r="ER914" s="609"/>
      <c r="ES914" s="609"/>
      <c r="ET914" s="609"/>
      <c r="EU914" s="609"/>
      <c r="EV914" s="609"/>
      <c r="EW914" s="609"/>
      <c r="EX914" s="609"/>
      <c r="EY914" s="609"/>
      <c r="EZ914" s="609"/>
      <c r="FA914" s="609"/>
      <c r="FB914" s="609"/>
      <c r="FC914" s="609"/>
      <c r="FD914" s="609"/>
      <c r="FE914" s="609"/>
      <c r="FF914" s="609"/>
      <c r="FG914" s="609"/>
      <c r="FH914" s="609"/>
      <c r="FI914" s="609"/>
      <c r="FJ914" s="609"/>
      <c r="FK914" s="609"/>
      <c r="FL914" s="609"/>
      <c r="FM914" s="609"/>
      <c r="FN914" s="609"/>
      <c r="FO914" s="609"/>
      <c r="FP914" s="609"/>
      <c r="FQ914" s="609"/>
      <c r="FR914" s="609"/>
      <c r="FS914" s="609"/>
      <c r="FT914" s="609"/>
      <c r="FU914" s="609"/>
      <c r="FV914" s="609"/>
      <c r="FW914" s="609"/>
      <c r="FX914" s="609"/>
      <c r="FY914" s="609"/>
      <c r="FZ914" s="609"/>
      <c r="GA914" s="609"/>
      <c r="GB914" s="609"/>
      <c r="GC914" s="609"/>
      <c r="GD914" s="609"/>
      <c r="GE914" s="609"/>
      <c r="GF914" s="609"/>
      <c r="GG914" s="609"/>
      <c r="GH914" s="609"/>
      <c r="GI914" s="609"/>
      <c r="GJ914" s="609"/>
      <c r="GK914" s="609"/>
      <c r="GL914" s="609"/>
      <c r="GM914" s="609"/>
      <c r="GN914" s="609"/>
      <c r="GO914" s="609"/>
      <c r="GP914" s="609"/>
      <c r="GQ914" s="609"/>
      <c r="GR914" s="609"/>
      <c r="GS914" s="609"/>
      <c r="GT914" s="609"/>
      <c r="GU914" s="609"/>
      <c r="GV914" s="609"/>
      <c r="GW914" s="609"/>
      <c r="GX914" s="609"/>
      <c r="GY914" s="609"/>
      <c r="GZ914" s="609"/>
      <c r="HA914" s="609"/>
      <c r="HB914" s="609"/>
      <c r="HC914" s="609"/>
      <c r="HD914" s="609"/>
      <c r="HE914" s="609"/>
      <c r="HF914" s="609"/>
      <c r="HG914" s="609"/>
      <c r="HH914" s="609"/>
      <c r="HI914" s="609"/>
      <c r="HJ914" s="609"/>
      <c r="HK914" s="609"/>
      <c r="HL914" s="609"/>
      <c r="HM914" s="609"/>
      <c r="HN914" s="609"/>
      <c r="HO914" s="609"/>
      <c r="HP914" s="609"/>
      <c r="HQ914" s="609"/>
      <c r="HR914" s="609"/>
      <c r="HS914" s="609"/>
      <c r="HT914" s="609"/>
      <c r="HU914" s="609"/>
      <c r="HV914" s="609"/>
      <c r="HW914" s="609"/>
      <c r="HX914" s="609"/>
      <c r="HY914" s="609"/>
      <c r="HZ914" s="609"/>
      <c r="IA914" s="609"/>
      <c r="IB914" s="609"/>
      <c r="IC914" s="609"/>
      <c r="ID914" s="609"/>
      <c r="IE914" s="609"/>
      <c r="IF914" s="609"/>
      <c r="IG914" s="609"/>
      <c r="IH914" s="609"/>
      <c r="II914" s="609"/>
      <c r="IJ914" s="609"/>
      <c r="IK914" s="609"/>
      <c r="IL914" s="609"/>
      <c r="IM914" s="609"/>
      <c r="IN914" s="609"/>
      <c r="IO914" s="609"/>
      <c r="IP914" s="609"/>
      <c r="IQ914" s="609"/>
      <c r="IR914" s="609"/>
      <c r="IS914" s="609"/>
      <c r="IT914" s="609"/>
      <c r="IU914" s="609"/>
      <c r="IV914" s="609"/>
    </row>
    <row r="915" spans="1:256" s="642" customFormat="1" ht="24" x14ac:dyDescent="0.25">
      <c r="A915" s="636" t="s">
        <v>278</v>
      </c>
      <c r="B915" s="636" t="s">
        <v>1262</v>
      </c>
      <c r="C915" s="636"/>
      <c r="D915" s="612" t="s">
        <v>1261</v>
      </c>
      <c r="E915" s="636" t="s">
        <v>251</v>
      </c>
      <c r="F915" s="612">
        <v>1</v>
      </c>
      <c r="G915" s="690">
        <v>9.6</v>
      </c>
      <c r="H915" s="612"/>
      <c r="I915" s="695">
        <f>ROUND(F915*G915,2)</f>
        <v>9.6</v>
      </c>
      <c r="J915" s="674"/>
      <c r="K915" s="682"/>
      <c r="L915" s="612"/>
      <c r="M915" s="612"/>
      <c r="N915" s="612"/>
      <c r="O915" s="612"/>
      <c r="P915" s="612"/>
      <c r="Q915" s="609"/>
      <c r="R915" s="609"/>
      <c r="S915" s="609"/>
      <c r="T915" s="609"/>
      <c r="U915" s="609"/>
      <c r="V915" s="609"/>
      <c r="W915" s="609"/>
      <c r="X915" s="609"/>
      <c r="Y915" s="609"/>
      <c r="Z915" s="609"/>
      <c r="AA915" s="609"/>
      <c r="AB915" s="609"/>
      <c r="AC915" s="609"/>
      <c r="AD915" s="609"/>
      <c r="AE915" s="609"/>
      <c r="AF915" s="609"/>
      <c r="AG915" s="609"/>
      <c r="AH915" s="609"/>
      <c r="AI915" s="609"/>
      <c r="AJ915" s="609"/>
      <c r="AK915" s="609"/>
      <c r="AL915" s="609"/>
      <c r="AM915" s="609"/>
      <c r="AN915" s="609"/>
      <c r="AO915" s="609"/>
      <c r="AP915" s="609"/>
      <c r="AQ915" s="609"/>
      <c r="AR915" s="609"/>
      <c r="AS915" s="609"/>
      <c r="AT915" s="609"/>
      <c r="AU915" s="609"/>
      <c r="AV915" s="609"/>
      <c r="AW915" s="609"/>
      <c r="AX915" s="609"/>
      <c r="AY915" s="609"/>
      <c r="AZ915" s="609"/>
      <c r="BA915" s="609"/>
      <c r="BB915" s="609"/>
      <c r="BC915" s="609"/>
      <c r="BD915" s="609"/>
      <c r="BE915" s="609"/>
      <c r="BF915" s="609"/>
      <c r="BG915" s="609"/>
      <c r="BH915" s="609"/>
      <c r="BI915" s="609"/>
      <c r="BJ915" s="609"/>
      <c r="BK915" s="609"/>
      <c r="BL915" s="609"/>
      <c r="BM915" s="609"/>
      <c r="BN915" s="609"/>
      <c r="BO915" s="609"/>
      <c r="BP915" s="609"/>
      <c r="BQ915" s="609"/>
      <c r="BR915" s="609"/>
      <c r="BS915" s="609"/>
      <c r="BT915" s="609"/>
      <c r="BU915" s="609"/>
      <c r="BV915" s="609"/>
      <c r="BW915" s="609"/>
      <c r="BX915" s="609"/>
      <c r="BY915" s="609"/>
      <c r="BZ915" s="609"/>
      <c r="CA915" s="609"/>
      <c r="CB915" s="609"/>
      <c r="CC915" s="609"/>
      <c r="CD915" s="609"/>
      <c r="CE915" s="609"/>
      <c r="CF915" s="609"/>
      <c r="CG915" s="609"/>
      <c r="CH915" s="609"/>
      <c r="CI915" s="609"/>
      <c r="CJ915" s="609"/>
      <c r="CK915" s="609"/>
      <c r="CL915" s="609"/>
      <c r="CM915" s="609"/>
      <c r="CN915" s="609"/>
      <c r="CO915" s="609"/>
      <c r="CP915" s="609"/>
      <c r="CQ915" s="609"/>
      <c r="CR915" s="609"/>
      <c r="CS915" s="609"/>
      <c r="CT915" s="609"/>
      <c r="CU915" s="609"/>
      <c r="CV915" s="609"/>
      <c r="CW915" s="609"/>
      <c r="CX915" s="609"/>
      <c r="CY915" s="609"/>
      <c r="CZ915" s="609"/>
      <c r="DA915" s="609"/>
      <c r="DB915" s="609"/>
      <c r="DC915" s="609"/>
      <c r="DD915" s="609"/>
      <c r="DE915" s="609"/>
      <c r="DF915" s="609"/>
      <c r="DG915" s="609"/>
      <c r="DH915" s="609"/>
      <c r="DI915" s="609"/>
      <c r="DJ915" s="609"/>
      <c r="DK915" s="609"/>
      <c r="DL915" s="609"/>
      <c r="DM915" s="609"/>
      <c r="DN915" s="609"/>
      <c r="DO915" s="609"/>
      <c r="DP915" s="609"/>
      <c r="DQ915" s="609"/>
      <c r="DR915" s="609"/>
      <c r="DS915" s="609"/>
      <c r="DT915" s="609"/>
      <c r="DU915" s="609"/>
      <c r="DV915" s="609"/>
      <c r="DW915" s="609"/>
      <c r="DX915" s="609"/>
      <c r="DY915" s="609"/>
      <c r="DZ915" s="609"/>
      <c r="EA915" s="609"/>
      <c r="EB915" s="609"/>
      <c r="EC915" s="609"/>
      <c r="ED915" s="609"/>
      <c r="EE915" s="609"/>
      <c r="EF915" s="609"/>
      <c r="EG915" s="609"/>
      <c r="EH915" s="609"/>
      <c r="EI915" s="609"/>
      <c r="EJ915" s="609"/>
      <c r="EK915" s="609"/>
      <c r="EL915" s="609"/>
      <c r="EM915" s="609"/>
      <c r="EN915" s="609"/>
      <c r="EO915" s="609"/>
      <c r="EP915" s="609"/>
      <c r="EQ915" s="609"/>
      <c r="ER915" s="609"/>
      <c r="ES915" s="609"/>
      <c r="ET915" s="609"/>
      <c r="EU915" s="609"/>
      <c r="EV915" s="609"/>
      <c r="EW915" s="609"/>
      <c r="EX915" s="609"/>
      <c r="EY915" s="609"/>
      <c r="EZ915" s="609"/>
      <c r="FA915" s="609"/>
      <c r="FB915" s="609"/>
      <c r="FC915" s="609"/>
      <c r="FD915" s="609"/>
      <c r="FE915" s="609"/>
      <c r="FF915" s="609"/>
      <c r="FG915" s="609"/>
      <c r="FH915" s="609"/>
      <c r="FI915" s="609"/>
      <c r="FJ915" s="609"/>
      <c r="FK915" s="609"/>
      <c r="FL915" s="609"/>
      <c r="FM915" s="609"/>
      <c r="FN915" s="609"/>
      <c r="FO915" s="609"/>
      <c r="FP915" s="609"/>
      <c r="FQ915" s="609"/>
      <c r="FR915" s="609"/>
      <c r="FS915" s="609"/>
      <c r="FT915" s="609"/>
      <c r="FU915" s="609"/>
      <c r="FV915" s="609"/>
      <c r="FW915" s="609"/>
      <c r="FX915" s="609"/>
      <c r="FY915" s="609"/>
      <c r="FZ915" s="609"/>
      <c r="GA915" s="609"/>
      <c r="GB915" s="609"/>
      <c r="GC915" s="609"/>
      <c r="GD915" s="609"/>
      <c r="GE915" s="609"/>
      <c r="GF915" s="609"/>
      <c r="GG915" s="609"/>
      <c r="GH915" s="609"/>
      <c r="GI915" s="609"/>
      <c r="GJ915" s="609"/>
      <c r="GK915" s="609"/>
      <c r="GL915" s="609"/>
      <c r="GM915" s="609"/>
      <c r="GN915" s="609"/>
      <c r="GO915" s="609"/>
      <c r="GP915" s="609"/>
      <c r="GQ915" s="609"/>
      <c r="GR915" s="609"/>
      <c r="GS915" s="609"/>
      <c r="GT915" s="609"/>
      <c r="GU915" s="609"/>
      <c r="GV915" s="609"/>
      <c r="GW915" s="609"/>
      <c r="GX915" s="609"/>
      <c r="GY915" s="609"/>
      <c r="GZ915" s="609"/>
      <c r="HA915" s="609"/>
      <c r="HB915" s="609"/>
      <c r="HC915" s="609"/>
      <c r="HD915" s="609"/>
      <c r="HE915" s="609"/>
      <c r="HF915" s="609"/>
      <c r="HG915" s="609"/>
      <c r="HH915" s="609"/>
      <c r="HI915" s="609"/>
      <c r="HJ915" s="609"/>
      <c r="HK915" s="609"/>
      <c r="HL915" s="609"/>
      <c r="HM915" s="609"/>
      <c r="HN915" s="609"/>
      <c r="HO915" s="609"/>
      <c r="HP915" s="609"/>
      <c r="HQ915" s="609"/>
      <c r="HR915" s="609"/>
      <c r="HS915" s="609"/>
      <c r="HT915" s="609"/>
      <c r="HU915" s="609"/>
      <c r="HV915" s="609"/>
      <c r="HW915" s="609"/>
      <c r="HX915" s="609"/>
      <c r="HY915" s="609"/>
      <c r="HZ915" s="609"/>
      <c r="IA915" s="609"/>
      <c r="IB915" s="609"/>
      <c r="IC915" s="609"/>
      <c r="ID915" s="609"/>
      <c r="IE915" s="609"/>
      <c r="IF915" s="609"/>
      <c r="IG915" s="609"/>
      <c r="IH915" s="609"/>
      <c r="II915" s="609"/>
      <c r="IJ915" s="609"/>
      <c r="IK915" s="609"/>
      <c r="IL915" s="609"/>
      <c r="IM915" s="609"/>
      <c r="IN915" s="609"/>
      <c r="IO915" s="609"/>
      <c r="IP915" s="609"/>
      <c r="IQ915" s="609"/>
      <c r="IR915" s="609"/>
      <c r="IS915" s="609"/>
      <c r="IT915" s="609"/>
      <c r="IU915" s="609"/>
      <c r="IV915" s="609"/>
    </row>
    <row r="916" spans="1:256" s="642" customFormat="1" x14ac:dyDescent="0.25">
      <c r="A916" s="624" t="s">
        <v>277</v>
      </c>
      <c r="B916" s="666">
        <v>2436</v>
      </c>
      <c r="C916" s="636"/>
      <c r="D916" s="612" t="s">
        <v>1069</v>
      </c>
      <c r="E916" s="636" t="s">
        <v>229</v>
      </c>
      <c r="F916" s="612">
        <v>0.7</v>
      </c>
      <c r="G916" s="681">
        <v>12.57</v>
      </c>
      <c r="H916" s="612"/>
      <c r="I916" s="612"/>
      <c r="J916" s="674">
        <f>ROUND(F916*G916,2)</f>
        <v>8.8000000000000007</v>
      </c>
      <c r="K916" s="682"/>
      <c r="L916" s="612"/>
      <c r="M916" s="612"/>
      <c r="N916" s="612"/>
      <c r="O916" s="612"/>
      <c r="P916" s="612"/>
      <c r="Q916" s="609"/>
      <c r="R916" s="609"/>
      <c r="S916" s="609"/>
      <c r="T916" s="609"/>
      <c r="U916" s="609"/>
      <c r="V916" s="609"/>
      <c r="W916" s="609"/>
      <c r="X916" s="609"/>
      <c r="Y916" s="609"/>
      <c r="Z916" s="609"/>
      <c r="AA916" s="609"/>
      <c r="AB916" s="609"/>
      <c r="AC916" s="609"/>
      <c r="AD916" s="609"/>
      <c r="AE916" s="609"/>
      <c r="AF916" s="609"/>
      <c r="AG916" s="609"/>
      <c r="AH916" s="609"/>
      <c r="AI916" s="609"/>
      <c r="AJ916" s="609"/>
      <c r="AK916" s="609"/>
      <c r="AL916" s="609"/>
      <c r="AM916" s="609"/>
      <c r="AN916" s="609"/>
      <c r="AO916" s="609"/>
      <c r="AP916" s="609"/>
      <c r="AQ916" s="609"/>
      <c r="AR916" s="609"/>
      <c r="AS916" s="609"/>
      <c r="AT916" s="609"/>
      <c r="AU916" s="609"/>
      <c r="AV916" s="609"/>
      <c r="AW916" s="609"/>
      <c r="AX916" s="609"/>
      <c r="AY916" s="609"/>
      <c r="AZ916" s="609"/>
      <c r="BA916" s="609"/>
      <c r="BB916" s="609"/>
      <c r="BC916" s="609"/>
      <c r="BD916" s="609"/>
      <c r="BE916" s="609"/>
      <c r="BF916" s="609"/>
      <c r="BG916" s="609"/>
      <c r="BH916" s="609"/>
      <c r="BI916" s="609"/>
      <c r="BJ916" s="609"/>
      <c r="BK916" s="609"/>
      <c r="BL916" s="609"/>
      <c r="BM916" s="609"/>
      <c r="BN916" s="609"/>
      <c r="BO916" s="609"/>
      <c r="BP916" s="609"/>
      <c r="BQ916" s="609"/>
      <c r="BR916" s="609"/>
      <c r="BS916" s="609"/>
      <c r="BT916" s="609"/>
      <c r="BU916" s="609"/>
      <c r="BV916" s="609"/>
      <c r="BW916" s="609"/>
      <c r="BX916" s="609"/>
      <c r="BY916" s="609"/>
      <c r="BZ916" s="609"/>
      <c r="CA916" s="609"/>
      <c r="CB916" s="609"/>
      <c r="CC916" s="609"/>
      <c r="CD916" s="609"/>
      <c r="CE916" s="609"/>
      <c r="CF916" s="609"/>
      <c r="CG916" s="609"/>
      <c r="CH916" s="609"/>
      <c r="CI916" s="609"/>
      <c r="CJ916" s="609"/>
      <c r="CK916" s="609"/>
      <c r="CL916" s="609"/>
      <c r="CM916" s="609"/>
      <c r="CN916" s="609"/>
      <c r="CO916" s="609"/>
      <c r="CP916" s="609"/>
      <c r="CQ916" s="609"/>
      <c r="CR916" s="609"/>
      <c r="CS916" s="609"/>
      <c r="CT916" s="609"/>
      <c r="CU916" s="609"/>
      <c r="CV916" s="609"/>
      <c r="CW916" s="609"/>
      <c r="CX916" s="609"/>
      <c r="CY916" s="609"/>
      <c r="CZ916" s="609"/>
      <c r="DA916" s="609"/>
      <c r="DB916" s="609"/>
      <c r="DC916" s="609"/>
      <c r="DD916" s="609"/>
      <c r="DE916" s="609"/>
      <c r="DF916" s="609"/>
      <c r="DG916" s="609"/>
      <c r="DH916" s="609"/>
      <c r="DI916" s="609"/>
      <c r="DJ916" s="609"/>
      <c r="DK916" s="609"/>
      <c r="DL916" s="609"/>
      <c r="DM916" s="609"/>
      <c r="DN916" s="609"/>
      <c r="DO916" s="609"/>
      <c r="DP916" s="609"/>
      <c r="DQ916" s="609"/>
      <c r="DR916" s="609"/>
      <c r="DS916" s="609"/>
      <c r="DT916" s="609"/>
      <c r="DU916" s="609"/>
      <c r="DV916" s="609"/>
      <c r="DW916" s="609"/>
      <c r="DX916" s="609"/>
      <c r="DY916" s="609"/>
      <c r="DZ916" s="609"/>
      <c r="EA916" s="609"/>
      <c r="EB916" s="609"/>
      <c r="EC916" s="609"/>
      <c r="ED916" s="609"/>
      <c r="EE916" s="609"/>
      <c r="EF916" s="609"/>
      <c r="EG916" s="609"/>
      <c r="EH916" s="609"/>
      <c r="EI916" s="609"/>
      <c r="EJ916" s="609"/>
      <c r="EK916" s="609"/>
      <c r="EL916" s="609"/>
      <c r="EM916" s="609"/>
      <c r="EN916" s="609"/>
      <c r="EO916" s="609"/>
      <c r="EP916" s="609"/>
      <c r="EQ916" s="609"/>
      <c r="ER916" s="609"/>
      <c r="ES916" s="609"/>
      <c r="ET916" s="609"/>
      <c r="EU916" s="609"/>
      <c r="EV916" s="609"/>
      <c r="EW916" s="609"/>
      <c r="EX916" s="609"/>
      <c r="EY916" s="609"/>
      <c r="EZ916" s="609"/>
      <c r="FA916" s="609"/>
      <c r="FB916" s="609"/>
      <c r="FC916" s="609"/>
      <c r="FD916" s="609"/>
      <c r="FE916" s="609"/>
      <c r="FF916" s="609"/>
      <c r="FG916" s="609"/>
      <c r="FH916" s="609"/>
      <c r="FI916" s="609"/>
      <c r="FJ916" s="609"/>
      <c r="FK916" s="609"/>
      <c r="FL916" s="609"/>
      <c r="FM916" s="609"/>
      <c r="FN916" s="609"/>
      <c r="FO916" s="609"/>
      <c r="FP916" s="609"/>
      <c r="FQ916" s="609"/>
      <c r="FR916" s="609"/>
      <c r="FS916" s="609"/>
      <c r="FT916" s="609"/>
      <c r="FU916" s="609"/>
      <c r="FV916" s="609"/>
      <c r="FW916" s="609"/>
      <c r="FX916" s="609"/>
      <c r="FY916" s="609"/>
      <c r="FZ916" s="609"/>
      <c r="GA916" s="609"/>
      <c r="GB916" s="609"/>
      <c r="GC916" s="609"/>
      <c r="GD916" s="609"/>
      <c r="GE916" s="609"/>
      <c r="GF916" s="609"/>
      <c r="GG916" s="609"/>
      <c r="GH916" s="609"/>
      <c r="GI916" s="609"/>
      <c r="GJ916" s="609"/>
      <c r="GK916" s="609"/>
      <c r="GL916" s="609"/>
      <c r="GM916" s="609"/>
      <c r="GN916" s="609"/>
      <c r="GO916" s="609"/>
      <c r="GP916" s="609"/>
      <c r="GQ916" s="609"/>
      <c r="GR916" s="609"/>
      <c r="GS916" s="609"/>
      <c r="GT916" s="609"/>
      <c r="GU916" s="609"/>
      <c r="GV916" s="609"/>
      <c r="GW916" s="609"/>
      <c r="GX916" s="609"/>
      <c r="GY916" s="609"/>
      <c r="GZ916" s="609"/>
      <c r="HA916" s="609"/>
      <c r="HB916" s="609"/>
      <c r="HC916" s="609"/>
      <c r="HD916" s="609"/>
      <c r="HE916" s="609"/>
      <c r="HF916" s="609"/>
      <c r="HG916" s="609"/>
      <c r="HH916" s="609"/>
      <c r="HI916" s="609"/>
      <c r="HJ916" s="609"/>
      <c r="HK916" s="609"/>
      <c r="HL916" s="609"/>
      <c r="HM916" s="609"/>
      <c r="HN916" s="609"/>
      <c r="HO916" s="609"/>
      <c r="HP916" s="609"/>
      <c r="HQ916" s="609"/>
      <c r="HR916" s="609"/>
      <c r="HS916" s="609"/>
      <c r="HT916" s="609"/>
      <c r="HU916" s="609"/>
      <c r="HV916" s="609"/>
      <c r="HW916" s="609"/>
      <c r="HX916" s="609"/>
      <c r="HY916" s="609"/>
      <c r="HZ916" s="609"/>
      <c r="IA916" s="609"/>
      <c r="IB916" s="609"/>
      <c r="IC916" s="609"/>
      <c r="ID916" s="609"/>
      <c r="IE916" s="609"/>
      <c r="IF916" s="609"/>
      <c r="IG916" s="609"/>
      <c r="IH916" s="609"/>
      <c r="II916" s="609"/>
      <c r="IJ916" s="609"/>
      <c r="IK916" s="609"/>
      <c r="IL916" s="609"/>
      <c r="IM916" s="609"/>
      <c r="IN916" s="609"/>
      <c r="IO916" s="609"/>
      <c r="IP916" s="609"/>
      <c r="IQ916" s="609"/>
      <c r="IR916" s="609"/>
      <c r="IS916" s="609"/>
      <c r="IT916" s="609"/>
      <c r="IU916" s="609"/>
      <c r="IV916" s="609"/>
    </row>
    <row r="917" spans="1:256" s="642" customFormat="1" x14ac:dyDescent="0.25">
      <c r="A917" s="624" t="s">
        <v>277</v>
      </c>
      <c r="B917" s="666">
        <v>247</v>
      </c>
      <c r="C917" s="636"/>
      <c r="D917" s="612" t="s">
        <v>1070</v>
      </c>
      <c r="E917" s="636" t="s">
        <v>229</v>
      </c>
      <c r="F917" s="612">
        <v>0.7</v>
      </c>
      <c r="G917" s="681">
        <v>9.65</v>
      </c>
      <c r="H917" s="612"/>
      <c r="I917" s="612"/>
      <c r="J917" s="674">
        <f>ROUND(F917*G917,2)</f>
        <v>6.76</v>
      </c>
      <c r="K917" s="682"/>
      <c r="L917" s="612"/>
      <c r="M917" s="612"/>
      <c r="N917" s="612"/>
      <c r="O917" s="612"/>
      <c r="P917" s="612"/>
      <c r="Q917" s="609"/>
      <c r="R917" s="609"/>
      <c r="S917" s="609"/>
      <c r="T917" s="609"/>
      <c r="U917" s="609"/>
      <c r="V917" s="609"/>
      <c r="W917" s="609"/>
      <c r="X917" s="609"/>
      <c r="Y917" s="609"/>
      <c r="Z917" s="609"/>
      <c r="AA917" s="609"/>
      <c r="AB917" s="609"/>
      <c r="AC917" s="609"/>
      <c r="AD917" s="609"/>
      <c r="AE917" s="609"/>
      <c r="AF917" s="609"/>
      <c r="AG917" s="609"/>
      <c r="AH917" s="609"/>
      <c r="AI917" s="609"/>
      <c r="AJ917" s="609"/>
      <c r="AK917" s="609"/>
      <c r="AL917" s="609"/>
      <c r="AM917" s="609"/>
      <c r="AN917" s="609"/>
      <c r="AO917" s="609"/>
      <c r="AP917" s="609"/>
      <c r="AQ917" s="609"/>
      <c r="AR917" s="609"/>
      <c r="AS917" s="609"/>
      <c r="AT917" s="609"/>
      <c r="AU917" s="609"/>
      <c r="AV917" s="609"/>
      <c r="AW917" s="609"/>
      <c r="AX917" s="609"/>
      <c r="AY917" s="609"/>
      <c r="AZ917" s="609"/>
      <c r="BA917" s="609"/>
      <c r="BB917" s="609"/>
      <c r="BC917" s="609"/>
      <c r="BD917" s="609"/>
      <c r="BE917" s="609"/>
      <c r="BF917" s="609"/>
      <c r="BG917" s="609"/>
      <c r="BH917" s="609"/>
      <c r="BI917" s="609"/>
      <c r="BJ917" s="609"/>
      <c r="BK917" s="609"/>
      <c r="BL917" s="609"/>
      <c r="BM917" s="609"/>
      <c r="BN917" s="609"/>
      <c r="BO917" s="609"/>
      <c r="BP917" s="609"/>
      <c r="BQ917" s="609"/>
      <c r="BR917" s="609"/>
      <c r="BS917" s="609"/>
      <c r="BT917" s="609"/>
      <c r="BU917" s="609"/>
      <c r="BV917" s="609"/>
      <c r="BW917" s="609"/>
      <c r="BX917" s="609"/>
      <c r="BY917" s="609"/>
      <c r="BZ917" s="609"/>
      <c r="CA917" s="609"/>
      <c r="CB917" s="609"/>
      <c r="CC917" s="609"/>
      <c r="CD917" s="609"/>
      <c r="CE917" s="609"/>
      <c r="CF917" s="609"/>
      <c r="CG917" s="609"/>
      <c r="CH917" s="609"/>
      <c r="CI917" s="609"/>
      <c r="CJ917" s="609"/>
      <c r="CK917" s="609"/>
      <c r="CL917" s="609"/>
      <c r="CM917" s="609"/>
      <c r="CN917" s="609"/>
      <c r="CO917" s="609"/>
      <c r="CP917" s="609"/>
      <c r="CQ917" s="609"/>
      <c r="CR917" s="609"/>
      <c r="CS917" s="609"/>
      <c r="CT917" s="609"/>
      <c r="CU917" s="609"/>
      <c r="CV917" s="609"/>
      <c r="CW917" s="609"/>
      <c r="CX917" s="609"/>
      <c r="CY917" s="609"/>
      <c r="CZ917" s="609"/>
      <c r="DA917" s="609"/>
      <c r="DB917" s="609"/>
      <c r="DC917" s="609"/>
      <c r="DD917" s="609"/>
      <c r="DE917" s="609"/>
      <c r="DF917" s="609"/>
      <c r="DG917" s="609"/>
      <c r="DH917" s="609"/>
      <c r="DI917" s="609"/>
      <c r="DJ917" s="609"/>
      <c r="DK917" s="609"/>
      <c r="DL917" s="609"/>
      <c r="DM917" s="609"/>
      <c r="DN917" s="609"/>
      <c r="DO917" s="609"/>
      <c r="DP917" s="609"/>
      <c r="DQ917" s="609"/>
      <c r="DR917" s="609"/>
      <c r="DS917" s="609"/>
      <c r="DT917" s="609"/>
      <c r="DU917" s="609"/>
      <c r="DV917" s="609"/>
      <c r="DW917" s="609"/>
      <c r="DX917" s="609"/>
      <c r="DY917" s="609"/>
      <c r="DZ917" s="609"/>
      <c r="EA917" s="609"/>
      <c r="EB917" s="609"/>
      <c r="EC917" s="609"/>
      <c r="ED917" s="609"/>
      <c r="EE917" s="609"/>
      <c r="EF917" s="609"/>
      <c r="EG917" s="609"/>
      <c r="EH917" s="609"/>
      <c r="EI917" s="609"/>
      <c r="EJ917" s="609"/>
      <c r="EK917" s="609"/>
      <c r="EL917" s="609"/>
      <c r="EM917" s="609"/>
      <c r="EN917" s="609"/>
      <c r="EO917" s="609"/>
      <c r="EP917" s="609"/>
      <c r="EQ917" s="609"/>
      <c r="ER917" s="609"/>
      <c r="ES917" s="609"/>
      <c r="ET917" s="609"/>
      <c r="EU917" s="609"/>
      <c r="EV917" s="609"/>
      <c r="EW917" s="609"/>
      <c r="EX917" s="609"/>
      <c r="EY917" s="609"/>
      <c r="EZ917" s="609"/>
      <c r="FA917" s="609"/>
      <c r="FB917" s="609"/>
      <c r="FC917" s="609"/>
      <c r="FD917" s="609"/>
      <c r="FE917" s="609"/>
      <c r="FF917" s="609"/>
      <c r="FG917" s="609"/>
      <c r="FH917" s="609"/>
      <c r="FI917" s="609"/>
      <c r="FJ917" s="609"/>
      <c r="FK917" s="609"/>
      <c r="FL917" s="609"/>
      <c r="FM917" s="609"/>
      <c r="FN917" s="609"/>
      <c r="FO917" s="609"/>
      <c r="FP917" s="609"/>
      <c r="FQ917" s="609"/>
      <c r="FR917" s="609"/>
      <c r="FS917" s="609"/>
      <c r="FT917" s="609"/>
      <c r="FU917" s="609"/>
      <c r="FV917" s="609"/>
      <c r="FW917" s="609"/>
      <c r="FX917" s="609"/>
      <c r="FY917" s="609"/>
      <c r="FZ917" s="609"/>
      <c r="GA917" s="609"/>
      <c r="GB917" s="609"/>
      <c r="GC917" s="609"/>
      <c r="GD917" s="609"/>
      <c r="GE917" s="609"/>
      <c r="GF917" s="609"/>
      <c r="GG917" s="609"/>
      <c r="GH917" s="609"/>
      <c r="GI917" s="609"/>
      <c r="GJ917" s="609"/>
      <c r="GK917" s="609"/>
      <c r="GL917" s="609"/>
      <c r="GM917" s="609"/>
      <c r="GN917" s="609"/>
      <c r="GO917" s="609"/>
      <c r="GP917" s="609"/>
      <c r="GQ917" s="609"/>
      <c r="GR917" s="609"/>
      <c r="GS917" s="609"/>
      <c r="GT917" s="609"/>
      <c r="GU917" s="609"/>
      <c r="GV917" s="609"/>
      <c r="GW917" s="609"/>
      <c r="GX917" s="609"/>
      <c r="GY917" s="609"/>
      <c r="GZ917" s="609"/>
      <c r="HA917" s="609"/>
      <c r="HB917" s="609"/>
      <c r="HC917" s="609"/>
      <c r="HD917" s="609"/>
      <c r="HE917" s="609"/>
      <c r="HF917" s="609"/>
      <c r="HG917" s="609"/>
      <c r="HH917" s="609"/>
      <c r="HI917" s="609"/>
      <c r="HJ917" s="609"/>
      <c r="HK917" s="609"/>
      <c r="HL917" s="609"/>
      <c r="HM917" s="609"/>
      <c r="HN917" s="609"/>
      <c r="HO917" s="609"/>
      <c r="HP917" s="609"/>
      <c r="HQ917" s="609"/>
      <c r="HR917" s="609"/>
      <c r="HS917" s="609"/>
      <c r="HT917" s="609"/>
      <c r="HU917" s="609"/>
      <c r="HV917" s="609"/>
      <c r="HW917" s="609"/>
      <c r="HX917" s="609"/>
      <c r="HY917" s="609"/>
      <c r="HZ917" s="609"/>
      <c r="IA917" s="609"/>
      <c r="IB917" s="609"/>
      <c r="IC917" s="609"/>
      <c r="ID917" s="609"/>
      <c r="IE917" s="609"/>
      <c r="IF917" s="609"/>
      <c r="IG917" s="609"/>
      <c r="IH917" s="609"/>
      <c r="II917" s="609"/>
      <c r="IJ917" s="609"/>
      <c r="IK917" s="609"/>
      <c r="IL917" s="609"/>
      <c r="IM917" s="609"/>
      <c r="IN917" s="609"/>
      <c r="IO917" s="609"/>
      <c r="IP917" s="609"/>
      <c r="IQ917" s="609"/>
      <c r="IR917" s="609"/>
      <c r="IS917" s="609"/>
      <c r="IT917" s="609"/>
      <c r="IU917" s="609"/>
      <c r="IV917" s="609"/>
    </row>
    <row r="918" spans="1:256" x14ac:dyDescent="0.25">
      <c r="A918" s="619"/>
      <c r="B918" s="619"/>
      <c r="C918" s="619" t="s">
        <v>1675</v>
      </c>
      <c r="D918" s="620" t="s">
        <v>1264</v>
      </c>
      <c r="E918" s="619" t="s">
        <v>251</v>
      </c>
      <c r="F918" s="621"/>
      <c r="G918" s="622"/>
      <c r="H918" s="621">
        <v>62</v>
      </c>
      <c r="I918" s="622">
        <f>SUM(I919:I921)</f>
        <v>7.93</v>
      </c>
      <c r="J918" s="622">
        <f>SUM(J919:J921)</f>
        <v>11.120000000000001</v>
      </c>
      <c r="K918" s="622">
        <f>I918+J918</f>
        <v>19.05</v>
      </c>
      <c r="L918" s="622">
        <f>H918*I918</f>
        <v>491.65999999999997</v>
      </c>
      <c r="M918" s="622">
        <f>H918*J918</f>
        <v>689.44</v>
      </c>
      <c r="N918" s="622">
        <f>L918+M918</f>
        <v>1181.0999999999999</v>
      </c>
      <c r="O918" s="622">
        <f>N918*$P$4</f>
        <v>290.07815999999997</v>
      </c>
      <c r="P918" s="622">
        <f>N918+O918</f>
        <v>1471.1781599999999</v>
      </c>
    </row>
    <row r="919" spans="1:256" x14ac:dyDescent="0.25">
      <c r="A919" s="611" t="s">
        <v>278</v>
      </c>
      <c r="B919" s="611" t="s">
        <v>1265</v>
      </c>
      <c r="C919" s="611"/>
      <c r="D919" s="612" t="s">
        <v>1264</v>
      </c>
      <c r="E919" s="611" t="s">
        <v>251</v>
      </c>
      <c r="F919" s="613">
        <v>1</v>
      </c>
      <c r="G919" s="614">
        <v>7.93</v>
      </c>
      <c r="H919" s="613"/>
      <c r="I919" s="614">
        <f>ROUND(F919*G919,2)</f>
        <v>7.93</v>
      </c>
      <c r="J919" s="614"/>
      <c r="K919" s="614">
        <f>I919+J919</f>
        <v>7.93</v>
      </c>
      <c r="L919" s="614"/>
      <c r="M919" s="614"/>
      <c r="N919" s="614"/>
      <c r="O919" s="614"/>
      <c r="P919" s="614"/>
    </row>
    <row r="920" spans="1:256" x14ac:dyDescent="0.25">
      <c r="A920" s="611" t="s">
        <v>277</v>
      </c>
      <c r="B920" s="611">
        <v>2436</v>
      </c>
      <c r="C920" s="611"/>
      <c r="D920" s="612" t="s">
        <v>1069</v>
      </c>
      <c r="E920" s="611" t="s">
        <v>229</v>
      </c>
      <c r="F920" s="613">
        <v>0.5</v>
      </c>
      <c r="G920" s="681">
        <v>12.57</v>
      </c>
      <c r="H920" s="613"/>
      <c r="I920" s="614"/>
      <c r="J920" s="614">
        <f>ROUND(F920*G920,2)</f>
        <v>6.29</v>
      </c>
      <c r="K920" s="614">
        <f t="shared" ref="K920:K921" si="188">I920+J920</f>
        <v>6.29</v>
      </c>
      <c r="L920" s="614"/>
      <c r="M920" s="614"/>
      <c r="N920" s="614"/>
      <c r="O920" s="614"/>
      <c r="P920" s="614"/>
    </row>
    <row r="921" spans="1:256" x14ac:dyDescent="0.25">
      <c r="A921" s="611" t="s">
        <v>277</v>
      </c>
      <c r="B921" s="611">
        <v>247</v>
      </c>
      <c r="C921" s="611"/>
      <c r="D921" s="612" t="s">
        <v>1070</v>
      </c>
      <c r="E921" s="611" t="s">
        <v>229</v>
      </c>
      <c r="F921" s="613">
        <v>0.5</v>
      </c>
      <c r="G921" s="681">
        <v>9.65</v>
      </c>
      <c r="H921" s="613"/>
      <c r="I921" s="614"/>
      <c r="J921" s="614">
        <f>ROUND(F921*G921,2)</f>
        <v>4.83</v>
      </c>
      <c r="K921" s="614">
        <f t="shared" si="188"/>
        <v>4.83</v>
      </c>
      <c r="L921" s="614"/>
      <c r="M921" s="614"/>
      <c r="N921" s="614"/>
      <c r="O921" s="614"/>
      <c r="P921" s="614"/>
    </row>
    <row r="922" spans="1:256" x14ac:dyDescent="0.25">
      <c r="A922" s="619"/>
      <c r="B922" s="619"/>
      <c r="C922" s="619" t="s">
        <v>1676</v>
      </c>
      <c r="D922" s="620" t="s">
        <v>1267</v>
      </c>
      <c r="E922" s="619" t="s">
        <v>251</v>
      </c>
      <c r="F922" s="621"/>
      <c r="G922" s="622"/>
      <c r="H922" s="621">
        <v>1</v>
      </c>
      <c r="I922" s="622">
        <f>SUM(I923:I925)</f>
        <v>9.85</v>
      </c>
      <c r="J922" s="622">
        <f>SUM(J923:J925)</f>
        <v>11.120000000000001</v>
      </c>
      <c r="K922" s="622">
        <f>I922+J922</f>
        <v>20.97</v>
      </c>
      <c r="L922" s="622">
        <f>H922*I922</f>
        <v>9.85</v>
      </c>
      <c r="M922" s="622">
        <f>H922*J922</f>
        <v>11.120000000000001</v>
      </c>
      <c r="N922" s="622">
        <f>L922+M922</f>
        <v>20.97</v>
      </c>
      <c r="O922" s="622">
        <f>N922*$P$4</f>
        <v>5.1502319999999999</v>
      </c>
      <c r="P922" s="622">
        <f>N922+O922</f>
        <v>26.120231999999998</v>
      </c>
    </row>
    <row r="923" spans="1:256" x14ac:dyDescent="0.25">
      <c r="A923" s="611" t="s">
        <v>278</v>
      </c>
      <c r="B923" s="611" t="s">
        <v>1268</v>
      </c>
      <c r="C923" s="611"/>
      <c r="D923" s="612" t="s">
        <v>1267</v>
      </c>
      <c r="E923" s="611" t="s">
        <v>251</v>
      </c>
      <c r="F923" s="613">
        <v>1</v>
      </c>
      <c r="G923" s="614">
        <v>9.85</v>
      </c>
      <c r="H923" s="613"/>
      <c r="I923" s="614">
        <f>ROUND(F923*G923,2)</f>
        <v>9.85</v>
      </c>
      <c r="J923" s="614"/>
      <c r="K923" s="614">
        <f>I923+J923</f>
        <v>9.85</v>
      </c>
      <c r="L923" s="614"/>
      <c r="M923" s="614"/>
      <c r="N923" s="614"/>
      <c r="O923" s="614"/>
      <c r="P923" s="614"/>
    </row>
    <row r="924" spans="1:256" x14ac:dyDescent="0.25">
      <c r="A924" s="611" t="s">
        <v>277</v>
      </c>
      <c r="B924" s="611">
        <v>2436</v>
      </c>
      <c r="C924" s="611"/>
      <c r="D924" s="612" t="s">
        <v>1069</v>
      </c>
      <c r="E924" s="611" t="s">
        <v>229</v>
      </c>
      <c r="F924" s="613">
        <v>0.5</v>
      </c>
      <c r="G924" s="681">
        <v>12.57</v>
      </c>
      <c r="H924" s="613"/>
      <c r="I924" s="614"/>
      <c r="J924" s="614">
        <f>ROUND(F924*G924,2)</f>
        <v>6.29</v>
      </c>
      <c r="K924" s="614">
        <f t="shared" ref="K924:K925" si="189">I924+J924</f>
        <v>6.29</v>
      </c>
      <c r="L924" s="614"/>
      <c r="M924" s="614"/>
      <c r="N924" s="614"/>
      <c r="O924" s="614"/>
      <c r="P924" s="614"/>
    </row>
    <row r="925" spans="1:256" x14ac:dyDescent="0.25">
      <c r="A925" s="611" t="s">
        <v>277</v>
      </c>
      <c r="B925" s="611">
        <v>247</v>
      </c>
      <c r="C925" s="611"/>
      <c r="D925" s="612" t="s">
        <v>1070</v>
      </c>
      <c r="E925" s="611" t="s">
        <v>229</v>
      </c>
      <c r="F925" s="613">
        <v>0.5</v>
      </c>
      <c r="G925" s="681">
        <v>9.65</v>
      </c>
      <c r="H925" s="613"/>
      <c r="I925" s="614"/>
      <c r="J925" s="614">
        <f>ROUND(F925*G925,2)</f>
        <v>4.83</v>
      </c>
      <c r="K925" s="614">
        <f t="shared" si="189"/>
        <v>4.83</v>
      </c>
      <c r="L925" s="614"/>
      <c r="M925" s="614"/>
      <c r="N925" s="614"/>
      <c r="O925" s="614"/>
      <c r="P925" s="614"/>
    </row>
    <row r="926" spans="1:256" x14ac:dyDescent="0.25">
      <c r="A926" s="619"/>
      <c r="B926" s="619"/>
      <c r="C926" s="619" t="s">
        <v>1677</v>
      </c>
      <c r="D926" s="620" t="s">
        <v>1275</v>
      </c>
      <c r="E926" s="619" t="s">
        <v>251</v>
      </c>
      <c r="F926" s="621"/>
      <c r="G926" s="622"/>
      <c r="H926" s="621">
        <v>1</v>
      </c>
      <c r="I926" s="622">
        <f>SUM(I927:I929)</f>
        <v>10.16</v>
      </c>
      <c r="J926" s="622">
        <f>SUM(J927:J929)</f>
        <v>13.33</v>
      </c>
      <c r="K926" s="622">
        <f>I926+J926</f>
        <v>23.490000000000002</v>
      </c>
      <c r="L926" s="622">
        <f>H926*I926</f>
        <v>10.16</v>
      </c>
      <c r="M926" s="622">
        <f>H926*J926</f>
        <v>13.33</v>
      </c>
      <c r="N926" s="622">
        <f>L926+M926</f>
        <v>23.490000000000002</v>
      </c>
      <c r="O926" s="622">
        <f>N926*$P$4</f>
        <v>5.7691440000000007</v>
      </c>
      <c r="P926" s="622">
        <f>N926+O926</f>
        <v>29.259144000000003</v>
      </c>
    </row>
    <row r="927" spans="1:256" x14ac:dyDescent="0.25">
      <c r="A927" s="611" t="s">
        <v>278</v>
      </c>
      <c r="B927" s="611" t="s">
        <v>1276</v>
      </c>
      <c r="C927" s="611"/>
      <c r="D927" s="612" t="s">
        <v>1275</v>
      </c>
      <c r="E927" s="611" t="s">
        <v>251</v>
      </c>
      <c r="F927" s="613">
        <v>1</v>
      </c>
      <c r="G927" s="614">
        <v>10.16</v>
      </c>
      <c r="H927" s="613"/>
      <c r="I927" s="614">
        <f>ROUND(F927*G927,2)</f>
        <v>10.16</v>
      </c>
      <c r="J927" s="614"/>
      <c r="K927" s="614">
        <f>I927+J927</f>
        <v>10.16</v>
      </c>
      <c r="L927" s="614"/>
      <c r="M927" s="614"/>
      <c r="N927" s="614"/>
      <c r="O927" s="614"/>
      <c r="P927" s="614"/>
    </row>
    <row r="928" spans="1:256" x14ac:dyDescent="0.25">
      <c r="A928" s="611" t="s">
        <v>277</v>
      </c>
      <c r="B928" s="611">
        <v>2436</v>
      </c>
      <c r="C928" s="611"/>
      <c r="D928" s="612" t="s">
        <v>1069</v>
      </c>
      <c r="E928" s="611" t="s">
        <v>229</v>
      </c>
      <c r="F928" s="613">
        <v>0.6</v>
      </c>
      <c r="G928" s="681">
        <v>12.57</v>
      </c>
      <c r="H928" s="613"/>
      <c r="I928" s="614"/>
      <c r="J928" s="614">
        <f>ROUND(F928*G928,2)</f>
        <v>7.54</v>
      </c>
      <c r="K928" s="614">
        <f t="shared" ref="K928:K929" si="190">I928+J928</f>
        <v>7.54</v>
      </c>
      <c r="L928" s="614"/>
      <c r="M928" s="614"/>
      <c r="N928" s="614"/>
      <c r="O928" s="614"/>
      <c r="P928" s="614"/>
    </row>
    <row r="929" spans="1:256" x14ac:dyDescent="0.25">
      <c r="A929" s="611" t="s">
        <v>277</v>
      </c>
      <c r="B929" s="611">
        <v>247</v>
      </c>
      <c r="C929" s="611"/>
      <c r="D929" s="612" t="s">
        <v>1070</v>
      </c>
      <c r="E929" s="611" t="s">
        <v>229</v>
      </c>
      <c r="F929" s="613">
        <v>0.6</v>
      </c>
      <c r="G929" s="681">
        <v>9.65</v>
      </c>
      <c r="H929" s="613"/>
      <c r="I929" s="614"/>
      <c r="J929" s="614">
        <f>ROUND(F929*G929,2)</f>
        <v>5.79</v>
      </c>
      <c r="K929" s="614">
        <f t="shared" si="190"/>
        <v>5.79</v>
      </c>
      <c r="L929" s="614"/>
      <c r="M929" s="614"/>
      <c r="N929" s="614"/>
      <c r="O929" s="614"/>
      <c r="P929" s="614"/>
    </row>
    <row r="930" spans="1:256" x14ac:dyDescent="0.25">
      <c r="A930" s="619"/>
      <c r="B930" s="619"/>
      <c r="C930" s="619" t="s">
        <v>1678</v>
      </c>
      <c r="D930" s="620" t="s">
        <v>1270</v>
      </c>
      <c r="E930" s="619" t="s">
        <v>251</v>
      </c>
      <c r="F930" s="621"/>
      <c r="G930" s="622"/>
      <c r="H930" s="621">
        <v>2</v>
      </c>
      <c r="I930" s="622">
        <f>SUM(I931:I933)</f>
        <v>8.48</v>
      </c>
      <c r="J930" s="622">
        <f>SUM(J931:J933)</f>
        <v>11.120000000000001</v>
      </c>
      <c r="K930" s="622">
        <f>I930+J930</f>
        <v>19.600000000000001</v>
      </c>
      <c r="L930" s="622">
        <f>H930*I930</f>
        <v>16.96</v>
      </c>
      <c r="M930" s="622">
        <f>H930*J930</f>
        <v>22.240000000000002</v>
      </c>
      <c r="N930" s="622">
        <f>L930+M930</f>
        <v>39.200000000000003</v>
      </c>
      <c r="O930" s="622">
        <f>N930*$P$4</f>
        <v>9.6275200000000005</v>
      </c>
      <c r="P930" s="622">
        <f>N930+O930</f>
        <v>48.827520000000007</v>
      </c>
    </row>
    <row r="931" spans="1:256" x14ac:dyDescent="0.25">
      <c r="A931" s="611" t="s">
        <v>278</v>
      </c>
      <c r="B931" s="611" t="s">
        <v>1271</v>
      </c>
      <c r="C931" s="611"/>
      <c r="D931" s="612" t="s">
        <v>1270</v>
      </c>
      <c r="E931" s="611" t="s">
        <v>251</v>
      </c>
      <c r="F931" s="613">
        <v>1</v>
      </c>
      <c r="G931" s="614">
        <v>8.48</v>
      </c>
      <c r="H931" s="613"/>
      <c r="I931" s="614">
        <f>ROUND(F931*G931,2)</f>
        <v>8.48</v>
      </c>
      <c r="J931" s="614"/>
      <c r="K931" s="614">
        <f>I931+J931</f>
        <v>8.48</v>
      </c>
      <c r="L931" s="614"/>
      <c r="M931" s="614"/>
      <c r="N931" s="614"/>
      <c r="O931" s="614"/>
      <c r="P931" s="614"/>
    </row>
    <row r="932" spans="1:256" x14ac:dyDescent="0.25">
      <c r="A932" s="611" t="s">
        <v>277</v>
      </c>
      <c r="B932" s="611">
        <v>2436</v>
      </c>
      <c r="C932" s="611"/>
      <c r="D932" s="612" t="s">
        <v>1069</v>
      </c>
      <c r="E932" s="611" t="s">
        <v>229</v>
      </c>
      <c r="F932" s="613">
        <v>0.5</v>
      </c>
      <c r="G932" s="681">
        <v>12.57</v>
      </c>
      <c r="H932" s="613"/>
      <c r="I932" s="614"/>
      <c r="J932" s="614">
        <f>ROUND(F932*G932,2)</f>
        <v>6.29</v>
      </c>
      <c r="K932" s="614">
        <f t="shared" ref="K932:K933" si="191">I932+J932</f>
        <v>6.29</v>
      </c>
      <c r="L932" s="614"/>
      <c r="M932" s="614"/>
      <c r="N932" s="614"/>
      <c r="O932" s="614"/>
      <c r="P932" s="614"/>
    </row>
    <row r="933" spans="1:256" x14ac:dyDescent="0.25">
      <c r="A933" s="611" t="s">
        <v>277</v>
      </c>
      <c r="B933" s="611">
        <v>247</v>
      </c>
      <c r="C933" s="611"/>
      <c r="D933" s="612" t="s">
        <v>1070</v>
      </c>
      <c r="E933" s="611" t="s">
        <v>229</v>
      </c>
      <c r="F933" s="613">
        <v>0.5</v>
      </c>
      <c r="G933" s="681">
        <v>9.65</v>
      </c>
      <c r="H933" s="613"/>
      <c r="I933" s="614"/>
      <c r="J933" s="614">
        <f>ROUND(F933*G933,2)</f>
        <v>4.83</v>
      </c>
      <c r="K933" s="614">
        <f t="shared" si="191"/>
        <v>4.83</v>
      </c>
      <c r="L933" s="614"/>
      <c r="M933" s="614"/>
      <c r="N933" s="614"/>
      <c r="O933" s="614"/>
      <c r="P933" s="614"/>
    </row>
    <row r="934" spans="1:256" s="642" customFormat="1" x14ac:dyDescent="0.25">
      <c r="A934" s="662"/>
      <c r="B934" s="696"/>
      <c r="C934" s="686" t="s">
        <v>1679</v>
      </c>
      <c r="D934" s="630" t="s">
        <v>1282</v>
      </c>
      <c r="E934" s="631" t="s">
        <v>248</v>
      </c>
      <c r="F934" s="632"/>
      <c r="G934" s="697"/>
      <c r="H934" s="632">
        <v>60</v>
      </c>
      <c r="I934" s="676">
        <f>SUM(I935:I937)</f>
        <v>1.6</v>
      </c>
      <c r="J934" s="676">
        <f>SUM(J936:J937)</f>
        <v>3.34</v>
      </c>
      <c r="K934" s="676">
        <f>I934+J934</f>
        <v>4.9399999999999995</v>
      </c>
      <c r="L934" s="622">
        <f>H934*I934</f>
        <v>96</v>
      </c>
      <c r="M934" s="622">
        <f>H934*J934</f>
        <v>200.39999999999998</v>
      </c>
      <c r="N934" s="622">
        <f>L934+M934</f>
        <v>296.39999999999998</v>
      </c>
      <c r="O934" s="622">
        <f>N934*$P$4</f>
        <v>72.795839999999998</v>
      </c>
      <c r="P934" s="622">
        <f>N934+O934</f>
        <v>369.19583999999998</v>
      </c>
    </row>
    <row r="935" spans="1:256" s="708" customFormat="1" x14ac:dyDescent="0.25">
      <c r="A935" s="678" t="s">
        <v>277</v>
      </c>
      <c r="B935" s="698" t="s">
        <v>1680</v>
      </c>
      <c r="C935" s="699"/>
      <c r="D935" s="700" t="s">
        <v>1282</v>
      </c>
      <c r="E935" s="701"/>
      <c r="F935" s="702">
        <v>1</v>
      </c>
      <c r="G935" s="703">
        <v>1.6</v>
      </c>
      <c r="H935" s="702"/>
      <c r="I935" s="704">
        <f>ROUND(F935*G935,2)</f>
        <v>1.6</v>
      </c>
      <c r="J935" s="705"/>
      <c r="K935" s="705"/>
      <c r="L935" s="706"/>
      <c r="M935" s="706"/>
      <c r="N935" s="707"/>
      <c r="O935" s="707"/>
      <c r="P935" s="707"/>
    </row>
    <row r="936" spans="1:256" s="709" customFormat="1" x14ac:dyDescent="0.25">
      <c r="A936" s="678" t="s">
        <v>277</v>
      </c>
      <c r="B936" s="679">
        <v>2436</v>
      </c>
      <c r="C936" s="634"/>
      <c r="D936" s="635" t="s">
        <v>1069</v>
      </c>
      <c r="E936" s="634" t="s">
        <v>229</v>
      </c>
      <c r="F936" s="635">
        <v>0.15</v>
      </c>
      <c r="G936" s="681">
        <v>12.57</v>
      </c>
      <c r="H936" s="635"/>
      <c r="I936" s="635"/>
      <c r="J936" s="674">
        <f>ROUND(F936*G936,2)</f>
        <v>1.89</v>
      </c>
      <c r="K936" s="635"/>
      <c r="L936" s="635"/>
      <c r="M936" s="635"/>
      <c r="N936" s="635"/>
      <c r="O936" s="635"/>
      <c r="P936" s="635"/>
      <c r="Q936" s="656"/>
      <c r="R936" s="656"/>
      <c r="S936" s="656"/>
      <c r="T936" s="656"/>
      <c r="U936" s="656"/>
      <c r="V936" s="656"/>
      <c r="W936" s="656"/>
      <c r="X936" s="656"/>
      <c r="Y936" s="656"/>
      <c r="Z936" s="656"/>
      <c r="AA936" s="656"/>
      <c r="AB936" s="656"/>
      <c r="AC936" s="656"/>
      <c r="AD936" s="656"/>
      <c r="AE936" s="656"/>
      <c r="AF936" s="656"/>
      <c r="AG936" s="656"/>
      <c r="AH936" s="656"/>
      <c r="AI936" s="656"/>
      <c r="AJ936" s="656"/>
      <c r="AK936" s="656"/>
      <c r="AL936" s="656"/>
      <c r="AM936" s="656"/>
      <c r="AN936" s="656"/>
      <c r="AO936" s="656"/>
      <c r="AP936" s="656"/>
      <c r="AQ936" s="656"/>
      <c r="AR936" s="656"/>
      <c r="AS936" s="656"/>
      <c r="AT936" s="656"/>
      <c r="AU936" s="656"/>
      <c r="AV936" s="656"/>
      <c r="AW936" s="656"/>
      <c r="AX936" s="656"/>
      <c r="AY936" s="656"/>
      <c r="AZ936" s="656"/>
      <c r="BA936" s="656"/>
      <c r="BB936" s="656"/>
      <c r="BC936" s="656"/>
      <c r="BD936" s="656"/>
      <c r="BE936" s="656"/>
      <c r="BF936" s="656"/>
      <c r="BG936" s="656"/>
      <c r="BH936" s="656"/>
      <c r="BI936" s="656"/>
      <c r="BJ936" s="656"/>
      <c r="BK936" s="656"/>
      <c r="BL936" s="656"/>
      <c r="BM936" s="656"/>
      <c r="BN936" s="656"/>
      <c r="BO936" s="656"/>
      <c r="BP936" s="656"/>
      <c r="BQ936" s="656"/>
      <c r="BR936" s="656"/>
      <c r="BS936" s="656"/>
      <c r="BT936" s="656"/>
      <c r="BU936" s="656"/>
      <c r="BV936" s="656"/>
      <c r="BW936" s="656"/>
      <c r="BX936" s="656"/>
      <c r="BY936" s="656"/>
      <c r="BZ936" s="656"/>
      <c r="CA936" s="656"/>
      <c r="CB936" s="656"/>
      <c r="CC936" s="656"/>
      <c r="CD936" s="656"/>
      <c r="CE936" s="656"/>
      <c r="CF936" s="656"/>
      <c r="CG936" s="656"/>
      <c r="CH936" s="656"/>
      <c r="CI936" s="656"/>
      <c r="CJ936" s="656"/>
      <c r="CK936" s="656"/>
      <c r="CL936" s="656"/>
      <c r="CM936" s="656"/>
      <c r="CN936" s="656"/>
      <c r="CO936" s="656"/>
      <c r="CP936" s="656"/>
      <c r="CQ936" s="656"/>
      <c r="CR936" s="656"/>
      <c r="CS936" s="656"/>
      <c r="CT936" s="656"/>
      <c r="CU936" s="656"/>
      <c r="CV936" s="656"/>
      <c r="CW936" s="656"/>
      <c r="CX936" s="656"/>
      <c r="CY936" s="656"/>
      <c r="CZ936" s="656"/>
      <c r="DA936" s="656"/>
      <c r="DB936" s="656"/>
      <c r="DC936" s="656"/>
      <c r="DD936" s="656"/>
      <c r="DE936" s="656"/>
      <c r="DF936" s="656"/>
      <c r="DG936" s="656"/>
      <c r="DH936" s="656"/>
      <c r="DI936" s="656"/>
      <c r="DJ936" s="656"/>
      <c r="DK936" s="656"/>
      <c r="DL936" s="656"/>
      <c r="DM936" s="656"/>
      <c r="DN936" s="656"/>
      <c r="DO936" s="656"/>
      <c r="DP936" s="656"/>
      <c r="DQ936" s="656"/>
      <c r="DR936" s="656"/>
      <c r="DS936" s="656"/>
      <c r="DT936" s="656"/>
      <c r="DU936" s="656"/>
      <c r="DV936" s="656"/>
      <c r="DW936" s="656"/>
      <c r="DX936" s="656"/>
      <c r="DY936" s="656"/>
      <c r="DZ936" s="656"/>
      <c r="EA936" s="656"/>
      <c r="EB936" s="656"/>
      <c r="EC936" s="656"/>
      <c r="ED936" s="656"/>
      <c r="EE936" s="656"/>
      <c r="EF936" s="656"/>
      <c r="EG936" s="656"/>
      <c r="EH936" s="656"/>
      <c r="EI936" s="656"/>
      <c r="EJ936" s="656"/>
      <c r="EK936" s="656"/>
      <c r="EL936" s="656"/>
      <c r="EM936" s="656"/>
      <c r="EN936" s="656"/>
      <c r="EO936" s="656"/>
      <c r="EP936" s="656"/>
      <c r="EQ936" s="656"/>
      <c r="ER936" s="656"/>
      <c r="ES936" s="656"/>
      <c r="ET936" s="656"/>
      <c r="EU936" s="656"/>
      <c r="EV936" s="656"/>
      <c r="EW936" s="656"/>
      <c r="EX936" s="656"/>
      <c r="EY936" s="656"/>
      <c r="EZ936" s="656"/>
      <c r="FA936" s="656"/>
      <c r="FB936" s="656"/>
      <c r="FC936" s="656"/>
      <c r="FD936" s="656"/>
      <c r="FE936" s="656"/>
      <c r="FF936" s="656"/>
      <c r="FG936" s="656"/>
      <c r="FH936" s="656"/>
      <c r="FI936" s="656"/>
      <c r="FJ936" s="656"/>
      <c r="FK936" s="656"/>
      <c r="FL936" s="656"/>
      <c r="FM936" s="656"/>
      <c r="FN936" s="656"/>
      <c r="FO936" s="656"/>
      <c r="FP936" s="656"/>
      <c r="FQ936" s="656"/>
      <c r="FR936" s="656"/>
      <c r="FS936" s="656"/>
      <c r="FT936" s="656"/>
      <c r="FU936" s="656"/>
      <c r="FV936" s="656"/>
      <c r="FW936" s="656"/>
      <c r="FX936" s="656"/>
      <c r="FY936" s="656"/>
      <c r="FZ936" s="656"/>
      <c r="GA936" s="656"/>
      <c r="GB936" s="656"/>
      <c r="GC936" s="656"/>
      <c r="GD936" s="656"/>
      <c r="GE936" s="656"/>
      <c r="GF936" s="656"/>
      <c r="GG936" s="656"/>
      <c r="GH936" s="656"/>
      <c r="GI936" s="656"/>
      <c r="GJ936" s="656"/>
      <c r="GK936" s="656"/>
      <c r="GL936" s="656"/>
      <c r="GM936" s="656"/>
      <c r="GN936" s="656"/>
      <c r="GO936" s="656"/>
      <c r="GP936" s="656"/>
      <c r="GQ936" s="656"/>
      <c r="GR936" s="656"/>
      <c r="GS936" s="656"/>
      <c r="GT936" s="656"/>
      <c r="GU936" s="656"/>
      <c r="GV936" s="656"/>
      <c r="GW936" s="656"/>
      <c r="GX936" s="656"/>
      <c r="GY936" s="656"/>
      <c r="GZ936" s="656"/>
      <c r="HA936" s="656"/>
      <c r="HB936" s="656"/>
      <c r="HC936" s="656"/>
      <c r="HD936" s="656"/>
      <c r="HE936" s="656"/>
      <c r="HF936" s="656"/>
      <c r="HG936" s="656"/>
      <c r="HH936" s="656"/>
      <c r="HI936" s="656"/>
      <c r="HJ936" s="656"/>
      <c r="HK936" s="656"/>
      <c r="HL936" s="656"/>
      <c r="HM936" s="656"/>
      <c r="HN936" s="656"/>
      <c r="HO936" s="656"/>
      <c r="HP936" s="656"/>
      <c r="HQ936" s="656"/>
      <c r="HR936" s="656"/>
      <c r="HS936" s="656"/>
      <c r="HT936" s="656"/>
      <c r="HU936" s="656"/>
      <c r="HV936" s="656"/>
      <c r="HW936" s="656"/>
      <c r="HX936" s="656"/>
      <c r="HY936" s="656"/>
      <c r="HZ936" s="656"/>
      <c r="IA936" s="656"/>
      <c r="IB936" s="656"/>
      <c r="IC936" s="656"/>
      <c r="ID936" s="656"/>
      <c r="IE936" s="656"/>
      <c r="IF936" s="656"/>
      <c r="IG936" s="656"/>
      <c r="IH936" s="656"/>
      <c r="II936" s="656"/>
      <c r="IJ936" s="656"/>
      <c r="IK936" s="656"/>
      <c r="IL936" s="656"/>
      <c r="IM936" s="656"/>
      <c r="IN936" s="656"/>
      <c r="IO936" s="656"/>
      <c r="IP936" s="656"/>
      <c r="IQ936" s="656"/>
      <c r="IR936" s="656"/>
      <c r="IS936" s="656"/>
      <c r="IT936" s="656"/>
      <c r="IU936" s="656"/>
      <c r="IV936" s="656"/>
    </row>
    <row r="937" spans="1:256" s="642" customFormat="1" x14ac:dyDescent="0.25">
      <c r="A937" s="678" t="s">
        <v>277</v>
      </c>
      <c r="B937" s="679">
        <v>247</v>
      </c>
      <c r="C937" s="634"/>
      <c r="D937" s="635" t="s">
        <v>1070</v>
      </c>
      <c r="E937" s="634" t="s">
        <v>229</v>
      </c>
      <c r="F937" s="635">
        <v>0.15</v>
      </c>
      <c r="G937" s="681">
        <v>9.65</v>
      </c>
      <c r="H937" s="635"/>
      <c r="I937" s="635"/>
      <c r="J937" s="674">
        <f>ROUND(F937*G937,2)</f>
        <v>1.45</v>
      </c>
      <c r="K937" s="635"/>
      <c r="L937" s="635"/>
      <c r="M937" s="635"/>
      <c r="N937" s="635"/>
      <c r="O937" s="635"/>
      <c r="P937" s="635"/>
    </row>
    <row r="938" spans="1:256" s="642" customFormat="1" ht="24" x14ac:dyDescent="0.25">
      <c r="A938" s="662"/>
      <c r="B938" s="696"/>
      <c r="C938" s="686" t="s">
        <v>1681</v>
      </c>
      <c r="D938" s="630" t="s">
        <v>1682</v>
      </c>
      <c r="E938" s="631" t="s">
        <v>248</v>
      </c>
      <c r="F938" s="632"/>
      <c r="G938" s="664"/>
      <c r="H938" s="632">
        <v>235</v>
      </c>
      <c r="I938" s="710">
        <f>SUM(I939:I941)</f>
        <v>3.49</v>
      </c>
      <c r="J938" s="677">
        <f>SUM(J939:J941)</f>
        <v>6.67</v>
      </c>
      <c r="K938" s="676">
        <f>I938+J938</f>
        <v>10.16</v>
      </c>
      <c r="L938" s="622">
        <f>H938*I938</f>
        <v>820.15000000000009</v>
      </c>
      <c r="M938" s="622">
        <f>H938*J938</f>
        <v>1567.45</v>
      </c>
      <c r="N938" s="622">
        <f>L938+M938</f>
        <v>2387.6000000000004</v>
      </c>
      <c r="O938" s="622">
        <f>N938*$P$4</f>
        <v>586.39456000000007</v>
      </c>
      <c r="P938" s="622">
        <f>N938+O938</f>
        <v>2973.9945600000005</v>
      </c>
    </row>
    <row r="939" spans="1:256" s="642" customFormat="1" x14ac:dyDescent="0.25">
      <c r="A939" s="634" t="s">
        <v>1225</v>
      </c>
      <c r="B939" s="698" t="s">
        <v>1226</v>
      </c>
      <c r="C939" s="634"/>
      <c r="D939" s="635" t="s">
        <v>1227</v>
      </c>
      <c r="E939" s="634" t="s">
        <v>248</v>
      </c>
      <c r="F939" s="635">
        <v>1.1000000000000001</v>
      </c>
      <c r="G939" s="690">
        <v>3.17</v>
      </c>
      <c r="H939" s="635"/>
      <c r="I939" s="691">
        <f>ROUND(F939*G939,2)</f>
        <v>3.49</v>
      </c>
      <c r="J939" s="674"/>
      <c r="K939" s="711"/>
      <c r="L939" s="691"/>
      <c r="M939" s="691"/>
      <c r="N939" s="691"/>
      <c r="O939" s="691"/>
      <c r="P939" s="691"/>
    </row>
    <row r="940" spans="1:256" s="642" customFormat="1" x14ac:dyDescent="0.25">
      <c r="A940" s="678" t="s">
        <v>277</v>
      </c>
      <c r="B940" s="698">
        <v>2436</v>
      </c>
      <c r="C940" s="634"/>
      <c r="D940" s="635" t="s">
        <v>1069</v>
      </c>
      <c r="E940" s="634" t="s">
        <v>229</v>
      </c>
      <c r="F940" s="635">
        <v>0.3</v>
      </c>
      <c r="G940" s="681">
        <v>12.57</v>
      </c>
      <c r="H940" s="635"/>
      <c r="I940" s="635"/>
      <c r="J940" s="674">
        <f>ROUND(F940*G940,2)</f>
        <v>3.77</v>
      </c>
      <c r="K940" s="711"/>
      <c r="L940" s="691"/>
      <c r="M940" s="691"/>
      <c r="N940" s="691"/>
      <c r="O940" s="691"/>
      <c r="P940" s="691"/>
    </row>
    <row r="941" spans="1:256" s="642" customFormat="1" x14ac:dyDescent="0.25">
      <c r="A941" s="678" t="s">
        <v>277</v>
      </c>
      <c r="B941" s="698">
        <v>247</v>
      </c>
      <c r="C941" s="634"/>
      <c r="D941" s="635" t="s">
        <v>1070</v>
      </c>
      <c r="E941" s="634" t="s">
        <v>229</v>
      </c>
      <c r="F941" s="635">
        <v>0.3</v>
      </c>
      <c r="G941" s="681">
        <v>9.65</v>
      </c>
      <c r="H941" s="635"/>
      <c r="I941" s="635"/>
      <c r="J941" s="674">
        <f>ROUND(F941*G941,2)</f>
        <v>2.9</v>
      </c>
      <c r="K941" s="711"/>
      <c r="L941" s="691"/>
      <c r="M941" s="691"/>
      <c r="N941" s="691"/>
      <c r="O941" s="691"/>
      <c r="P941" s="691"/>
    </row>
    <row r="942" spans="1:256" s="642" customFormat="1" ht="24" x14ac:dyDescent="0.25">
      <c r="A942" s="662"/>
      <c r="B942" s="696"/>
      <c r="C942" s="686" t="s">
        <v>1683</v>
      </c>
      <c r="D942" s="630" t="s">
        <v>1684</v>
      </c>
      <c r="E942" s="631" t="s">
        <v>248</v>
      </c>
      <c r="F942" s="632"/>
      <c r="G942" s="664"/>
      <c r="H942" s="632">
        <v>20</v>
      </c>
      <c r="I942" s="710">
        <f>SUM(I943:I945)</f>
        <v>4.8499999999999996</v>
      </c>
      <c r="J942" s="677">
        <f>SUM(J943:J945)</f>
        <v>10</v>
      </c>
      <c r="K942" s="676">
        <f>I942+J942</f>
        <v>14.85</v>
      </c>
      <c r="L942" s="622">
        <f>H942*I942</f>
        <v>97</v>
      </c>
      <c r="M942" s="622">
        <f>H942*J942</f>
        <v>200</v>
      </c>
      <c r="N942" s="622">
        <f>L942+M942</f>
        <v>297</v>
      </c>
      <c r="O942" s="622">
        <f>N942*$P$4</f>
        <v>72.943200000000004</v>
      </c>
      <c r="P942" s="622">
        <f>N942+O942</f>
        <v>369.94319999999999</v>
      </c>
    </row>
    <row r="943" spans="1:256" s="642" customFormat="1" x14ac:dyDescent="0.25">
      <c r="A943" s="634" t="s">
        <v>1225</v>
      </c>
      <c r="B943" s="698" t="s">
        <v>1236</v>
      </c>
      <c r="C943" s="634"/>
      <c r="D943" s="635" t="s">
        <v>1685</v>
      </c>
      <c r="E943" s="634" t="s">
        <v>248</v>
      </c>
      <c r="F943" s="635">
        <v>1.1000000000000001</v>
      </c>
      <c r="G943" s="690">
        <v>4.41</v>
      </c>
      <c r="H943" s="635"/>
      <c r="I943" s="691">
        <f>ROUND(F943*G943,2)</f>
        <v>4.8499999999999996</v>
      </c>
      <c r="J943" s="674"/>
      <c r="K943" s="711"/>
      <c r="L943" s="691"/>
      <c r="M943" s="691"/>
      <c r="N943" s="691"/>
      <c r="O943" s="691"/>
      <c r="P943" s="691"/>
    </row>
    <row r="944" spans="1:256" s="642" customFormat="1" x14ac:dyDescent="0.25">
      <c r="A944" s="678" t="s">
        <v>277</v>
      </c>
      <c r="B944" s="698">
        <v>2436</v>
      </c>
      <c r="C944" s="634"/>
      <c r="D944" s="635" t="s">
        <v>1069</v>
      </c>
      <c r="E944" s="634" t="s">
        <v>229</v>
      </c>
      <c r="F944" s="635">
        <v>0.45</v>
      </c>
      <c r="G944" s="681">
        <v>12.57</v>
      </c>
      <c r="H944" s="635"/>
      <c r="I944" s="635"/>
      <c r="J944" s="674">
        <f>ROUND(F944*G944,2)</f>
        <v>5.66</v>
      </c>
      <c r="K944" s="711"/>
      <c r="L944" s="691"/>
      <c r="M944" s="691"/>
      <c r="N944" s="691"/>
      <c r="O944" s="691"/>
      <c r="P944" s="691"/>
    </row>
    <row r="945" spans="1:256" s="642" customFormat="1" x14ac:dyDescent="0.25">
      <c r="A945" s="678" t="s">
        <v>277</v>
      </c>
      <c r="B945" s="698">
        <v>247</v>
      </c>
      <c r="C945" s="634"/>
      <c r="D945" s="635" t="s">
        <v>1070</v>
      </c>
      <c r="E945" s="634" t="s">
        <v>229</v>
      </c>
      <c r="F945" s="635">
        <v>0.45</v>
      </c>
      <c r="G945" s="681">
        <v>9.65</v>
      </c>
      <c r="H945" s="635"/>
      <c r="I945" s="635"/>
      <c r="J945" s="674">
        <f>ROUND(F945*G945,2)</f>
        <v>4.34</v>
      </c>
      <c r="K945" s="711"/>
      <c r="L945" s="691"/>
      <c r="M945" s="691"/>
      <c r="N945" s="691"/>
      <c r="O945" s="691"/>
      <c r="P945" s="691"/>
    </row>
    <row r="946" spans="1:256" s="642" customFormat="1" ht="24" x14ac:dyDescent="0.25">
      <c r="A946" s="662"/>
      <c r="B946" s="696"/>
      <c r="C946" s="686" t="s">
        <v>1686</v>
      </c>
      <c r="D946" s="630" t="s">
        <v>1687</v>
      </c>
      <c r="E946" s="631" t="s">
        <v>248</v>
      </c>
      <c r="F946" s="632"/>
      <c r="G946" s="664"/>
      <c r="H946" s="632">
        <v>9</v>
      </c>
      <c r="I946" s="710">
        <f>SUM(I947:I949)</f>
        <v>8.06</v>
      </c>
      <c r="J946" s="677">
        <f>SUM(J947:J949)</f>
        <v>10</v>
      </c>
      <c r="K946" s="676">
        <f>I946+J946</f>
        <v>18.060000000000002</v>
      </c>
      <c r="L946" s="622">
        <f>H946*I946</f>
        <v>72.540000000000006</v>
      </c>
      <c r="M946" s="622">
        <f>H946*J946</f>
        <v>90</v>
      </c>
      <c r="N946" s="622">
        <f>L946+M946</f>
        <v>162.54000000000002</v>
      </c>
      <c r="O946" s="622">
        <f>N946*$P$4</f>
        <v>39.919824000000006</v>
      </c>
      <c r="P946" s="622">
        <f>N946+O946</f>
        <v>202.45982400000003</v>
      </c>
    </row>
    <row r="947" spans="1:256" s="642" customFormat="1" x14ac:dyDescent="0.25">
      <c r="A947" s="634" t="s">
        <v>1225</v>
      </c>
      <c r="B947" s="698" t="s">
        <v>1286</v>
      </c>
      <c r="C947" s="634"/>
      <c r="D947" s="635" t="s">
        <v>1287</v>
      </c>
      <c r="E947" s="634" t="s">
        <v>248</v>
      </c>
      <c r="F947" s="635">
        <v>1.1000000000000001</v>
      </c>
      <c r="G947" s="690">
        <v>7.33</v>
      </c>
      <c r="H947" s="635"/>
      <c r="I947" s="691">
        <f>ROUND(F947*G947,2)</f>
        <v>8.06</v>
      </c>
      <c r="J947" s="674"/>
      <c r="K947" s="711"/>
      <c r="L947" s="691"/>
      <c r="M947" s="691"/>
      <c r="N947" s="691"/>
      <c r="O947" s="691"/>
      <c r="P947" s="691"/>
    </row>
    <row r="948" spans="1:256" s="642" customFormat="1" x14ac:dyDescent="0.25">
      <c r="A948" s="678" t="s">
        <v>277</v>
      </c>
      <c r="B948" s="698">
        <v>2436</v>
      </c>
      <c r="C948" s="634"/>
      <c r="D948" s="635" t="s">
        <v>1069</v>
      </c>
      <c r="E948" s="634" t="s">
        <v>229</v>
      </c>
      <c r="F948" s="635">
        <v>0.45</v>
      </c>
      <c r="G948" s="681">
        <v>12.57</v>
      </c>
      <c r="H948" s="635"/>
      <c r="I948" s="635"/>
      <c r="J948" s="674">
        <f>ROUND(F948*G948,2)</f>
        <v>5.66</v>
      </c>
      <c r="K948" s="711"/>
      <c r="L948" s="691"/>
      <c r="M948" s="691"/>
      <c r="N948" s="691"/>
      <c r="O948" s="691"/>
      <c r="P948" s="691"/>
    </row>
    <row r="949" spans="1:256" s="642" customFormat="1" x14ac:dyDescent="0.25">
      <c r="A949" s="678" t="s">
        <v>277</v>
      </c>
      <c r="B949" s="698">
        <v>247</v>
      </c>
      <c r="C949" s="634"/>
      <c r="D949" s="635" t="s">
        <v>1070</v>
      </c>
      <c r="E949" s="634" t="s">
        <v>229</v>
      </c>
      <c r="F949" s="635">
        <v>0.45</v>
      </c>
      <c r="G949" s="681">
        <v>9.65</v>
      </c>
      <c r="H949" s="635"/>
      <c r="I949" s="635"/>
      <c r="J949" s="674">
        <f>ROUND(F949*G949,2)</f>
        <v>4.34</v>
      </c>
      <c r="K949" s="711"/>
      <c r="L949" s="691"/>
      <c r="M949" s="691"/>
      <c r="N949" s="691"/>
      <c r="O949" s="691"/>
      <c r="P949" s="691"/>
    </row>
    <row r="950" spans="1:256" s="642" customFormat="1" x14ac:dyDescent="0.25">
      <c r="A950" s="675"/>
      <c r="B950" s="675"/>
      <c r="C950" s="675" t="s">
        <v>1688</v>
      </c>
      <c r="D950" s="620" t="s">
        <v>1442</v>
      </c>
      <c r="E950" s="675" t="s">
        <v>251</v>
      </c>
      <c r="F950" s="620"/>
      <c r="G950" s="622"/>
      <c r="H950" s="620">
        <v>16</v>
      </c>
      <c r="I950" s="712">
        <f>SUM(I951:I953)</f>
        <v>3.04</v>
      </c>
      <c r="J950" s="712">
        <f>SUM(J951:J953)</f>
        <v>1.1099999999999999</v>
      </c>
      <c r="K950" s="664">
        <f>I950+J950</f>
        <v>4.1500000000000004</v>
      </c>
      <c r="L950" s="622">
        <f>H950*I950</f>
        <v>48.64</v>
      </c>
      <c r="M950" s="622">
        <f>H950*J950</f>
        <v>17.759999999999998</v>
      </c>
      <c r="N950" s="622">
        <f>L950+M950</f>
        <v>66.400000000000006</v>
      </c>
      <c r="O950" s="622">
        <f>N950*$P$4</f>
        <v>16.307840000000002</v>
      </c>
      <c r="P950" s="622">
        <f>N950+O950</f>
        <v>82.707840000000004</v>
      </c>
      <c r="Q950" s="609"/>
      <c r="R950" s="609"/>
      <c r="S950" s="609"/>
      <c r="T950" s="609"/>
      <c r="U950" s="609"/>
      <c r="V950" s="609"/>
      <c r="W950" s="609"/>
      <c r="X950" s="609"/>
      <c r="Y950" s="609"/>
      <c r="Z950" s="609"/>
      <c r="AA950" s="609"/>
      <c r="AB950" s="609"/>
      <c r="AC950" s="609"/>
      <c r="AD950" s="609"/>
      <c r="AE950" s="609"/>
      <c r="AF950" s="609"/>
      <c r="AG950" s="609"/>
      <c r="AH950" s="609"/>
      <c r="AI950" s="609"/>
      <c r="AJ950" s="609"/>
      <c r="AK950" s="609"/>
      <c r="AL950" s="609"/>
      <c r="AM950" s="609"/>
      <c r="AN950" s="609"/>
      <c r="AO950" s="609"/>
      <c r="AP950" s="609"/>
      <c r="AQ950" s="609"/>
      <c r="AR950" s="609"/>
      <c r="AS950" s="609"/>
      <c r="AT950" s="609"/>
      <c r="AU950" s="609"/>
      <c r="AV950" s="609"/>
      <c r="AW950" s="609"/>
      <c r="AX950" s="609"/>
      <c r="AY950" s="609"/>
      <c r="AZ950" s="609"/>
      <c r="BA950" s="609"/>
      <c r="BB950" s="609"/>
      <c r="BC950" s="609"/>
      <c r="BD950" s="609"/>
      <c r="BE950" s="609"/>
      <c r="BF950" s="609"/>
      <c r="BG950" s="609"/>
      <c r="BH950" s="609"/>
      <c r="BI950" s="609"/>
      <c r="BJ950" s="609"/>
      <c r="BK950" s="609"/>
      <c r="BL950" s="609"/>
      <c r="BM950" s="609"/>
      <c r="BN950" s="609"/>
      <c r="BO950" s="609"/>
      <c r="BP950" s="609"/>
      <c r="BQ950" s="609"/>
      <c r="BR950" s="609"/>
      <c r="BS950" s="609"/>
      <c r="BT950" s="609"/>
      <c r="BU950" s="609"/>
      <c r="BV950" s="609"/>
      <c r="BW950" s="609"/>
      <c r="BX950" s="609"/>
      <c r="BY950" s="609"/>
      <c r="BZ950" s="609"/>
      <c r="CA950" s="609"/>
      <c r="CB950" s="609"/>
      <c r="CC950" s="609"/>
      <c r="CD950" s="609"/>
      <c r="CE950" s="609"/>
      <c r="CF950" s="609"/>
      <c r="CG950" s="609"/>
      <c r="CH950" s="609"/>
      <c r="CI950" s="609"/>
      <c r="CJ950" s="609"/>
      <c r="CK950" s="609"/>
      <c r="CL950" s="609"/>
      <c r="CM950" s="609"/>
      <c r="CN950" s="609"/>
      <c r="CO950" s="609"/>
      <c r="CP950" s="609"/>
      <c r="CQ950" s="609"/>
      <c r="CR950" s="609"/>
      <c r="CS950" s="609"/>
      <c r="CT950" s="609"/>
      <c r="CU950" s="609"/>
      <c r="CV950" s="609"/>
      <c r="CW950" s="609"/>
      <c r="CX950" s="609"/>
      <c r="CY950" s="609"/>
      <c r="CZ950" s="609"/>
      <c r="DA950" s="609"/>
      <c r="DB950" s="609"/>
      <c r="DC950" s="609"/>
      <c r="DD950" s="609"/>
      <c r="DE950" s="609"/>
      <c r="DF950" s="609"/>
      <c r="DG950" s="609"/>
      <c r="DH950" s="609"/>
      <c r="DI950" s="609"/>
      <c r="DJ950" s="609"/>
      <c r="DK950" s="609"/>
      <c r="DL950" s="609"/>
      <c r="DM950" s="609"/>
      <c r="DN950" s="609"/>
      <c r="DO950" s="609"/>
      <c r="DP950" s="609"/>
      <c r="DQ950" s="609"/>
      <c r="DR950" s="609"/>
      <c r="DS950" s="609"/>
      <c r="DT950" s="609"/>
      <c r="DU950" s="609"/>
      <c r="DV950" s="609"/>
      <c r="DW950" s="609"/>
      <c r="DX950" s="609"/>
      <c r="DY950" s="609"/>
      <c r="DZ950" s="609"/>
      <c r="EA950" s="609"/>
      <c r="EB950" s="609"/>
      <c r="EC950" s="609"/>
      <c r="ED950" s="609"/>
      <c r="EE950" s="609"/>
      <c r="EF950" s="609"/>
      <c r="EG950" s="609"/>
      <c r="EH950" s="609"/>
      <c r="EI950" s="609"/>
      <c r="EJ950" s="609"/>
      <c r="EK950" s="609"/>
      <c r="EL950" s="609"/>
      <c r="EM950" s="609"/>
      <c r="EN950" s="609"/>
      <c r="EO950" s="609"/>
      <c r="EP950" s="609"/>
      <c r="EQ950" s="609"/>
      <c r="ER950" s="609"/>
      <c r="ES950" s="609"/>
      <c r="ET950" s="609"/>
      <c r="EU950" s="609"/>
      <c r="EV950" s="609"/>
      <c r="EW950" s="609"/>
      <c r="EX950" s="609"/>
      <c r="EY950" s="609"/>
      <c r="EZ950" s="609"/>
      <c r="FA950" s="609"/>
      <c r="FB950" s="609"/>
      <c r="FC950" s="609"/>
      <c r="FD950" s="609"/>
      <c r="FE950" s="609"/>
      <c r="FF950" s="609"/>
      <c r="FG950" s="609"/>
      <c r="FH950" s="609"/>
      <c r="FI950" s="609"/>
      <c r="FJ950" s="609"/>
      <c r="FK950" s="609"/>
      <c r="FL950" s="609"/>
      <c r="FM950" s="609"/>
      <c r="FN950" s="609"/>
      <c r="FO950" s="609"/>
      <c r="FP950" s="609"/>
      <c r="FQ950" s="609"/>
      <c r="FR950" s="609"/>
      <c r="FS950" s="609"/>
      <c r="FT950" s="609"/>
      <c r="FU950" s="609"/>
      <c r="FV950" s="609"/>
      <c r="FW950" s="609"/>
      <c r="FX950" s="609"/>
      <c r="FY950" s="609"/>
      <c r="FZ950" s="609"/>
      <c r="GA950" s="609"/>
      <c r="GB950" s="609"/>
      <c r="GC950" s="609"/>
      <c r="GD950" s="609"/>
      <c r="GE950" s="609"/>
      <c r="GF950" s="609"/>
      <c r="GG950" s="609"/>
      <c r="GH950" s="609"/>
      <c r="GI950" s="609"/>
      <c r="GJ950" s="609"/>
      <c r="GK950" s="609"/>
      <c r="GL950" s="609"/>
      <c r="GM950" s="609"/>
      <c r="GN950" s="609"/>
      <c r="GO950" s="609"/>
      <c r="GP950" s="609"/>
      <c r="GQ950" s="609"/>
      <c r="GR950" s="609"/>
      <c r="GS950" s="609"/>
      <c r="GT950" s="609"/>
      <c r="GU950" s="609"/>
      <c r="GV950" s="609"/>
      <c r="GW950" s="609"/>
      <c r="GX950" s="609"/>
      <c r="GY950" s="609"/>
      <c r="GZ950" s="609"/>
      <c r="HA950" s="609"/>
      <c r="HB950" s="609"/>
      <c r="HC950" s="609"/>
      <c r="HD950" s="609"/>
      <c r="HE950" s="609"/>
      <c r="HF950" s="609"/>
      <c r="HG950" s="609"/>
      <c r="HH950" s="609"/>
      <c r="HI950" s="609"/>
      <c r="HJ950" s="609"/>
      <c r="HK950" s="609"/>
      <c r="HL950" s="609"/>
      <c r="HM950" s="609"/>
      <c r="HN950" s="609"/>
      <c r="HO950" s="609"/>
      <c r="HP950" s="609"/>
      <c r="HQ950" s="609"/>
      <c r="HR950" s="609"/>
      <c r="HS950" s="609"/>
      <c r="HT950" s="609"/>
      <c r="HU950" s="609"/>
      <c r="HV950" s="609"/>
      <c r="HW950" s="609"/>
      <c r="HX950" s="609"/>
      <c r="HY950" s="609"/>
      <c r="HZ950" s="609"/>
      <c r="IA950" s="609"/>
      <c r="IB950" s="609"/>
      <c r="IC950" s="609"/>
      <c r="ID950" s="609"/>
      <c r="IE950" s="609"/>
      <c r="IF950" s="609"/>
      <c r="IG950" s="609"/>
      <c r="IH950" s="609"/>
      <c r="II950" s="609"/>
      <c r="IJ950" s="609"/>
      <c r="IK950" s="609"/>
      <c r="IL950" s="609"/>
      <c r="IM950" s="609"/>
      <c r="IN950" s="609"/>
      <c r="IO950" s="609"/>
      <c r="IP950" s="609"/>
      <c r="IQ950" s="609"/>
      <c r="IR950" s="609"/>
      <c r="IS950" s="609"/>
      <c r="IT950" s="609"/>
      <c r="IU950" s="609"/>
      <c r="IV950" s="609"/>
    </row>
    <row r="951" spans="1:256" s="642" customFormat="1" ht="36" x14ac:dyDescent="0.25">
      <c r="A951" s="636" t="s">
        <v>1108</v>
      </c>
      <c r="B951" s="636"/>
      <c r="C951" s="636"/>
      <c r="D951" s="612" t="s">
        <v>1443</v>
      </c>
      <c r="E951" s="636" t="s">
        <v>251</v>
      </c>
      <c r="F951" s="612">
        <v>1</v>
      </c>
      <c r="G951" s="690">
        <v>3.04</v>
      </c>
      <c r="H951" s="612"/>
      <c r="I951" s="623">
        <f>ROUND(F951*G951,2)</f>
        <v>3.04</v>
      </c>
      <c r="J951" s="674"/>
      <c r="K951" s="682"/>
      <c r="L951" s="612"/>
      <c r="M951" s="612"/>
      <c r="N951" s="612"/>
      <c r="O951" s="612"/>
      <c r="P951" s="612"/>
      <c r="Q951" s="609"/>
      <c r="R951" s="609"/>
      <c r="S951" s="609"/>
      <c r="T951" s="609"/>
      <c r="U951" s="609"/>
      <c r="V951" s="609"/>
      <c r="W951" s="609"/>
      <c r="X951" s="609"/>
      <c r="Y951" s="609"/>
      <c r="Z951" s="609"/>
      <c r="AA951" s="609"/>
      <c r="AB951" s="609"/>
      <c r="AC951" s="609"/>
      <c r="AD951" s="609"/>
      <c r="AE951" s="609"/>
      <c r="AF951" s="609"/>
      <c r="AG951" s="609"/>
      <c r="AH951" s="609"/>
      <c r="AI951" s="609"/>
      <c r="AJ951" s="609"/>
      <c r="AK951" s="609"/>
      <c r="AL951" s="609"/>
      <c r="AM951" s="609"/>
      <c r="AN951" s="609"/>
      <c r="AO951" s="609"/>
      <c r="AP951" s="609"/>
      <c r="AQ951" s="609"/>
      <c r="AR951" s="609"/>
      <c r="AS951" s="609"/>
      <c r="AT951" s="609"/>
      <c r="AU951" s="609"/>
      <c r="AV951" s="609"/>
      <c r="AW951" s="609"/>
      <c r="AX951" s="609"/>
      <c r="AY951" s="609"/>
      <c r="AZ951" s="609"/>
      <c r="BA951" s="609"/>
      <c r="BB951" s="609"/>
      <c r="BC951" s="609"/>
      <c r="BD951" s="609"/>
      <c r="BE951" s="609"/>
      <c r="BF951" s="609"/>
      <c r="BG951" s="609"/>
      <c r="BH951" s="609"/>
      <c r="BI951" s="609"/>
      <c r="BJ951" s="609"/>
      <c r="BK951" s="609"/>
      <c r="BL951" s="609"/>
      <c r="BM951" s="609"/>
      <c r="BN951" s="609"/>
      <c r="BO951" s="609"/>
      <c r="BP951" s="609"/>
      <c r="BQ951" s="609"/>
      <c r="BR951" s="609"/>
      <c r="BS951" s="609"/>
      <c r="BT951" s="609"/>
      <c r="BU951" s="609"/>
      <c r="BV951" s="609"/>
      <c r="BW951" s="609"/>
      <c r="BX951" s="609"/>
      <c r="BY951" s="609"/>
      <c r="BZ951" s="609"/>
      <c r="CA951" s="609"/>
      <c r="CB951" s="609"/>
      <c r="CC951" s="609"/>
      <c r="CD951" s="609"/>
      <c r="CE951" s="609"/>
      <c r="CF951" s="609"/>
      <c r="CG951" s="609"/>
      <c r="CH951" s="609"/>
      <c r="CI951" s="609"/>
      <c r="CJ951" s="609"/>
      <c r="CK951" s="609"/>
      <c r="CL951" s="609"/>
      <c r="CM951" s="609"/>
      <c r="CN951" s="609"/>
      <c r="CO951" s="609"/>
      <c r="CP951" s="609"/>
      <c r="CQ951" s="609"/>
      <c r="CR951" s="609"/>
      <c r="CS951" s="609"/>
      <c r="CT951" s="609"/>
      <c r="CU951" s="609"/>
      <c r="CV951" s="609"/>
      <c r="CW951" s="609"/>
      <c r="CX951" s="609"/>
      <c r="CY951" s="609"/>
      <c r="CZ951" s="609"/>
      <c r="DA951" s="609"/>
      <c r="DB951" s="609"/>
      <c r="DC951" s="609"/>
      <c r="DD951" s="609"/>
      <c r="DE951" s="609"/>
      <c r="DF951" s="609"/>
      <c r="DG951" s="609"/>
      <c r="DH951" s="609"/>
      <c r="DI951" s="609"/>
      <c r="DJ951" s="609"/>
      <c r="DK951" s="609"/>
      <c r="DL951" s="609"/>
      <c r="DM951" s="609"/>
      <c r="DN951" s="609"/>
      <c r="DO951" s="609"/>
      <c r="DP951" s="609"/>
      <c r="DQ951" s="609"/>
      <c r="DR951" s="609"/>
      <c r="DS951" s="609"/>
      <c r="DT951" s="609"/>
      <c r="DU951" s="609"/>
      <c r="DV951" s="609"/>
      <c r="DW951" s="609"/>
      <c r="DX951" s="609"/>
      <c r="DY951" s="609"/>
      <c r="DZ951" s="609"/>
      <c r="EA951" s="609"/>
      <c r="EB951" s="609"/>
      <c r="EC951" s="609"/>
      <c r="ED951" s="609"/>
      <c r="EE951" s="609"/>
      <c r="EF951" s="609"/>
      <c r="EG951" s="609"/>
      <c r="EH951" s="609"/>
      <c r="EI951" s="609"/>
      <c r="EJ951" s="609"/>
      <c r="EK951" s="609"/>
      <c r="EL951" s="609"/>
      <c r="EM951" s="609"/>
      <c r="EN951" s="609"/>
      <c r="EO951" s="609"/>
      <c r="EP951" s="609"/>
      <c r="EQ951" s="609"/>
      <c r="ER951" s="609"/>
      <c r="ES951" s="609"/>
      <c r="ET951" s="609"/>
      <c r="EU951" s="609"/>
      <c r="EV951" s="609"/>
      <c r="EW951" s="609"/>
      <c r="EX951" s="609"/>
      <c r="EY951" s="609"/>
      <c r="EZ951" s="609"/>
      <c r="FA951" s="609"/>
      <c r="FB951" s="609"/>
      <c r="FC951" s="609"/>
      <c r="FD951" s="609"/>
      <c r="FE951" s="609"/>
      <c r="FF951" s="609"/>
      <c r="FG951" s="609"/>
      <c r="FH951" s="609"/>
      <c r="FI951" s="609"/>
      <c r="FJ951" s="609"/>
      <c r="FK951" s="609"/>
      <c r="FL951" s="609"/>
      <c r="FM951" s="609"/>
      <c r="FN951" s="609"/>
      <c r="FO951" s="609"/>
      <c r="FP951" s="609"/>
      <c r="FQ951" s="609"/>
      <c r="FR951" s="609"/>
      <c r="FS951" s="609"/>
      <c r="FT951" s="609"/>
      <c r="FU951" s="609"/>
      <c r="FV951" s="609"/>
      <c r="FW951" s="609"/>
      <c r="FX951" s="609"/>
      <c r="FY951" s="609"/>
      <c r="FZ951" s="609"/>
      <c r="GA951" s="609"/>
      <c r="GB951" s="609"/>
      <c r="GC951" s="609"/>
      <c r="GD951" s="609"/>
      <c r="GE951" s="609"/>
      <c r="GF951" s="609"/>
      <c r="GG951" s="609"/>
      <c r="GH951" s="609"/>
      <c r="GI951" s="609"/>
      <c r="GJ951" s="609"/>
      <c r="GK951" s="609"/>
      <c r="GL951" s="609"/>
      <c r="GM951" s="609"/>
      <c r="GN951" s="609"/>
      <c r="GO951" s="609"/>
      <c r="GP951" s="609"/>
      <c r="GQ951" s="609"/>
      <c r="GR951" s="609"/>
      <c r="GS951" s="609"/>
      <c r="GT951" s="609"/>
      <c r="GU951" s="609"/>
      <c r="GV951" s="609"/>
      <c r="GW951" s="609"/>
      <c r="GX951" s="609"/>
      <c r="GY951" s="609"/>
      <c r="GZ951" s="609"/>
      <c r="HA951" s="609"/>
      <c r="HB951" s="609"/>
      <c r="HC951" s="609"/>
      <c r="HD951" s="609"/>
      <c r="HE951" s="609"/>
      <c r="HF951" s="609"/>
      <c r="HG951" s="609"/>
      <c r="HH951" s="609"/>
      <c r="HI951" s="609"/>
      <c r="HJ951" s="609"/>
      <c r="HK951" s="609"/>
      <c r="HL951" s="609"/>
      <c r="HM951" s="609"/>
      <c r="HN951" s="609"/>
      <c r="HO951" s="609"/>
      <c r="HP951" s="609"/>
      <c r="HQ951" s="609"/>
      <c r="HR951" s="609"/>
      <c r="HS951" s="609"/>
      <c r="HT951" s="609"/>
      <c r="HU951" s="609"/>
      <c r="HV951" s="609"/>
      <c r="HW951" s="609"/>
      <c r="HX951" s="609"/>
      <c r="HY951" s="609"/>
      <c r="HZ951" s="609"/>
      <c r="IA951" s="609"/>
      <c r="IB951" s="609"/>
      <c r="IC951" s="609"/>
      <c r="ID951" s="609"/>
      <c r="IE951" s="609"/>
      <c r="IF951" s="609"/>
      <c r="IG951" s="609"/>
      <c r="IH951" s="609"/>
      <c r="II951" s="609"/>
      <c r="IJ951" s="609"/>
      <c r="IK951" s="609"/>
      <c r="IL951" s="609"/>
      <c r="IM951" s="609"/>
      <c r="IN951" s="609"/>
      <c r="IO951" s="609"/>
      <c r="IP951" s="609"/>
      <c r="IQ951" s="609"/>
      <c r="IR951" s="609"/>
      <c r="IS951" s="609"/>
      <c r="IT951" s="609"/>
      <c r="IU951" s="609"/>
      <c r="IV951" s="609"/>
    </row>
    <row r="952" spans="1:256" s="642" customFormat="1" x14ac:dyDescent="0.25">
      <c r="A952" s="624" t="s">
        <v>277</v>
      </c>
      <c r="B952" s="666">
        <v>2436</v>
      </c>
      <c r="C952" s="636"/>
      <c r="D952" s="612" t="s">
        <v>1069</v>
      </c>
      <c r="E952" s="636" t="s">
        <v>229</v>
      </c>
      <c r="F952" s="612">
        <v>0.05</v>
      </c>
      <c r="G952" s="681">
        <v>12.57</v>
      </c>
      <c r="H952" s="612"/>
      <c r="I952" s="612"/>
      <c r="J952" s="674">
        <f>ROUND(F952*G952,2)</f>
        <v>0.63</v>
      </c>
      <c r="K952" s="682"/>
      <c r="L952" s="612"/>
      <c r="M952" s="612"/>
      <c r="N952" s="612"/>
      <c r="O952" s="612"/>
      <c r="P952" s="612"/>
      <c r="Q952" s="609"/>
      <c r="R952" s="609"/>
      <c r="S952" s="609"/>
      <c r="T952" s="609"/>
      <c r="U952" s="609"/>
      <c r="V952" s="609"/>
      <c r="W952" s="609"/>
      <c r="X952" s="609"/>
      <c r="Y952" s="609"/>
      <c r="Z952" s="609"/>
      <c r="AA952" s="609"/>
      <c r="AB952" s="609"/>
      <c r="AC952" s="609"/>
      <c r="AD952" s="609"/>
      <c r="AE952" s="609"/>
      <c r="AF952" s="609"/>
      <c r="AG952" s="609"/>
      <c r="AH952" s="609"/>
      <c r="AI952" s="609"/>
      <c r="AJ952" s="609"/>
      <c r="AK952" s="609"/>
      <c r="AL952" s="609"/>
      <c r="AM952" s="609"/>
      <c r="AN952" s="609"/>
      <c r="AO952" s="609"/>
      <c r="AP952" s="609"/>
      <c r="AQ952" s="609"/>
      <c r="AR952" s="609"/>
      <c r="AS952" s="609"/>
      <c r="AT952" s="609"/>
      <c r="AU952" s="609"/>
      <c r="AV952" s="609"/>
      <c r="AW952" s="609"/>
      <c r="AX952" s="609"/>
      <c r="AY952" s="609"/>
      <c r="AZ952" s="609"/>
      <c r="BA952" s="609"/>
      <c r="BB952" s="609"/>
      <c r="BC952" s="609"/>
      <c r="BD952" s="609"/>
      <c r="BE952" s="609"/>
      <c r="BF952" s="609"/>
      <c r="BG952" s="609"/>
      <c r="BH952" s="609"/>
      <c r="BI952" s="609"/>
      <c r="BJ952" s="609"/>
      <c r="BK952" s="609"/>
      <c r="BL952" s="609"/>
      <c r="BM952" s="609"/>
      <c r="BN952" s="609"/>
      <c r="BO952" s="609"/>
      <c r="BP952" s="609"/>
      <c r="BQ952" s="609"/>
      <c r="BR952" s="609"/>
      <c r="BS952" s="609"/>
      <c r="BT952" s="609"/>
      <c r="BU952" s="609"/>
      <c r="BV952" s="609"/>
      <c r="BW952" s="609"/>
      <c r="BX952" s="609"/>
      <c r="BY952" s="609"/>
      <c r="BZ952" s="609"/>
      <c r="CA952" s="609"/>
      <c r="CB952" s="609"/>
      <c r="CC952" s="609"/>
      <c r="CD952" s="609"/>
      <c r="CE952" s="609"/>
      <c r="CF952" s="609"/>
      <c r="CG952" s="609"/>
      <c r="CH952" s="609"/>
      <c r="CI952" s="609"/>
      <c r="CJ952" s="609"/>
      <c r="CK952" s="609"/>
      <c r="CL952" s="609"/>
      <c r="CM952" s="609"/>
      <c r="CN952" s="609"/>
      <c r="CO952" s="609"/>
      <c r="CP952" s="609"/>
      <c r="CQ952" s="609"/>
      <c r="CR952" s="609"/>
      <c r="CS952" s="609"/>
      <c r="CT952" s="609"/>
      <c r="CU952" s="609"/>
      <c r="CV952" s="609"/>
      <c r="CW952" s="609"/>
      <c r="CX952" s="609"/>
      <c r="CY952" s="609"/>
      <c r="CZ952" s="609"/>
      <c r="DA952" s="609"/>
      <c r="DB952" s="609"/>
      <c r="DC952" s="609"/>
      <c r="DD952" s="609"/>
      <c r="DE952" s="609"/>
      <c r="DF952" s="609"/>
      <c r="DG952" s="609"/>
      <c r="DH952" s="609"/>
      <c r="DI952" s="609"/>
      <c r="DJ952" s="609"/>
      <c r="DK952" s="609"/>
      <c r="DL952" s="609"/>
      <c r="DM952" s="609"/>
      <c r="DN952" s="609"/>
      <c r="DO952" s="609"/>
      <c r="DP952" s="609"/>
      <c r="DQ952" s="609"/>
      <c r="DR952" s="609"/>
      <c r="DS952" s="609"/>
      <c r="DT952" s="609"/>
      <c r="DU952" s="609"/>
      <c r="DV952" s="609"/>
      <c r="DW952" s="609"/>
      <c r="DX952" s="609"/>
      <c r="DY952" s="609"/>
      <c r="DZ952" s="609"/>
      <c r="EA952" s="609"/>
      <c r="EB952" s="609"/>
      <c r="EC952" s="609"/>
      <c r="ED952" s="609"/>
      <c r="EE952" s="609"/>
      <c r="EF952" s="609"/>
      <c r="EG952" s="609"/>
      <c r="EH952" s="609"/>
      <c r="EI952" s="609"/>
      <c r="EJ952" s="609"/>
      <c r="EK952" s="609"/>
      <c r="EL952" s="609"/>
      <c r="EM952" s="609"/>
      <c r="EN952" s="609"/>
      <c r="EO952" s="609"/>
      <c r="EP952" s="609"/>
      <c r="EQ952" s="609"/>
      <c r="ER952" s="609"/>
      <c r="ES952" s="609"/>
      <c r="ET952" s="609"/>
      <c r="EU952" s="609"/>
      <c r="EV952" s="609"/>
      <c r="EW952" s="609"/>
      <c r="EX952" s="609"/>
      <c r="EY952" s="609"/>
      <c r="EZ952" s="609"/>
      <c r="FA952" s="609"/>
      <c r="FB952" s="609"/>
      <c r="FC952" s="609"/>
      <c r="FD952" s="609"/>
      <c r="FE952" s="609"/>
      <c r="FF952" s="609"/>
      <c r="FG952" s="609"/>
      <c r="FH952" s="609"/>
      <c r="FI952" s="609"/>
      <c r="FJ952" s="609"/>
      <c r="FK952" s="609"/>
      <c r="FL952" s="609"/>
      <c r="FM952" s="609"/>
      <c r="FN952" s="609"/>
      <c r="FO952" s="609"/>
      <c r="FP952" s="609"/>
      <c r="FQ952" s="609"/>
      <c r="FR952" s="609"/>
      <c r="FS952" s="609"/>
      <c r="FT952" s="609"/>
      <c r="FU952" s="609"/>
      <c r="FV952" s="609"/>
      <c r="FW952" s="609"/>
      <c r="FX952" s="609"/>
      <c r="FY952" s="609"/>
      <c r="FZ952" s="609"/>
      <c r="GA952" s="609"/>
      <c r="GB952" s="609"/>
      <c r="GC952" s="609"/>
      <c r="GD952" s="609"/>
      <c r="GE952" s="609"/>
      <c r="GF952" s="609"/>
      <c r="GG952" s="609"/>
      <c r="GH952" s="609"/>
      <c r="GI952" s="609"/>
      <c r="GJ952" s="609"/>
      <c r="GK952" s="609"/>
      <c r="GL952" s="609"/>
      <c r="GM952" s="609"/>
      <c r="GN952" s="609"/>
      <c r="GO952" s="609"/>
      <c r="GP952" s="609"/>
      <c r="GQ952" s="609"/>
      <c r="GR952" s="609"/>
      <c r="GS952" s="609"/>
      <c r="GT952" s="609"/>
      <c r="GU952" s="609"/>
      <c r="GV952" s="609"/>
      <c r="GW952" s="609"/>
      <c r="GX952" s="609"/>
      <c r="GY952" s="609"/>
      <c r="GZ952" s="609"/>
      <c r="HA952" s="609"/>
      <c r="HB952" s="609"/>
      <c r="HC952" s="609"/>
      <c r="HD952" s="609"/>
      <c r="HE952" s="609"/>
      <c r="HF952" s="609"/>
      <c r="HG952" s="609"/>
      <c r="HH952" s="609"/>
      <c r="HI952" s="609"/>
      <c r="HJ952" s="609"/>
      <c r="HK952" s="609"/>
      <c r="HL952" s="609"/>
      <c r="HM952" s="609"/>
      <c r="HN952" s="609"/>
      <c r="HO952" s="609"/>
      <c r="HP952" s="609"/>
      <c r="HQ952" s="609"/>
      <c r="HR952" s="609"/>
      <c r="HS952" s="609"/>
      <c r="HT952" s="609"/>
      <c r="HU952" s="609"/>
      <c r="HV952" s="609"/>
      <c r="HW952" s="609"/>
      <c r="HX952" s="609"/>
      <c r="HY952" s="609"/>
      <c r="HZ952" s="609"/>
      <c r="IA952" s="609"/>
      <c r="IB952" s="609"/>
      <c r="IC952" s="609"/>
      <c r="ID952" s="609"/>
      <c r="IE952" s="609"/>
      <c r="IF952" s="609"/>
      <c r="IG952" s="609"/>
      <c r="IH952" s="609"/>
      <c r="II952" s="609"/>
      <c r="IJ952" s="609"/>
      <c r="IK952" s="609"/>
      <c r="IL952" s="609"/>
      <c r="IM952" s="609"/>
      <c r="IN952" s="609"/>
      <c r="IO952" s="609"/>
      <c r="IP952" s="609"/>
      <c r="IQ952" s="609"/>
      <c r="IR952" s="609"/>
      <c r="IS952" s="609"/>
      <c r="IT952" s="609"/>
      <c r="IU952" s="609"/>
      <c r="IV952" s="609"/>
    </row>
    <row r="953" spans="1:256" s="642" customFormat="1" x14ac:dyDescent="0.25">
      <c r="A953" s="624" t="s">
        <v>277</v>
      </c>
      <c r="B953" s="666">
        <v>247</v>
      </c>
      <c r="C953" s="636"/>
      <c r="D953" s="612" t="s">
        <v>1070</v>
      </c>
      <c r="E953" s="636" t="s">
        <v>229</v>
      </c>
      <c r="F953" s="612">
        <v>0.05</v>
      </c>
      <c r="G953" s="681">
        <v>9.65</v>
      </c>
      <c r="H953" s="612"/>
      <c r="I953" s="612"/>
      <c r="J953" s="674">
        <f>ROUND(F953*G953,2)</f>
        <v>0.48</v>
      </c>
      <c r="K953" s="682"/>
      <c r="L953" s="612"/>
      <c r="M953" s="612"/>
      <c r="N953" s="612"/>
      <c r="O953" s="612"/>
      <c r="P953" s="612"/>
      <c r="Q953" s="609"/>
      <c r="R953" s="609"/>
      <c r="S953" s="609"/>
      <c r="T953" s="609"/>
      <c r="U953" s="609"/>
      <c r="V953" s="609"/>
      <c r="W953" s="609"/>
      <c r="X953" s="609"/>
      <c r="Y953" s="609"/>
      <c r="Z953" s="609"/>
      <c r="AA953" s="609"/>
      <c r="AB953" s="609"/>
      <c r="AC953" s="609"/>
      <c r="AD953" s="609"/>
      <c r="AE953" s="609"/>
      <c r="AF953" s="609"/>
      <c r="AG953" s="609"/>
      <c r="AH953" s="609"/>
      <c r="AI953" s="609"/>
      <c r="AJ953" s="609"/>
      <c r="AK953" s="609"/>
      <c r="AL953" s="609"/>
      <c r="AM953" s="609"/>
      <c r="AN953" s="609"/>
      <c r="AO953" s="609"/>
      <c r="AP953" s="609"/>
      <c r="AQ953" s="609"/>
      <c r="AR953" s="609"/>
      <c r="AS953" s="609"/>
      <c r="AT953" s="609"/>
      <c r="AU953" s="609"/>
      <c r="AV953" s="609"/>
      <c r="AW953" s="609"/>
      <c r="AX953" s="609"/>
      <c r="AY953" s="609"/>
      <c r="AZ953" s="609"/>
      <c r="BA953" s="609"/>
      <c r="BB953" s="609"/>
      <c r="BC953" s="609"/>
      <c r="BD953" s="609"/>
      <c r="BE953" s="609"/>
      <c r="BF953" s="609"/>
      <c r="BG953" s="609"/>
      <c r="BH953" s="609"/>
      <c r="BI953" s="609"/>
      <c r="BJ953" s="609"/>
      <c r="BK953" s="609"/>
      <c r="BL953" s="609"/>
      <c r="BM953" s="609"/>
      <c r="BN953" s="609"/>
      <c r="BO953" s="609"/>
      <c r="BP953" s="609"/>
      <c r="BQ953" s="609"/>
      <c r="BR953" s="609"/>
      <c r="BS953" s="609"/>
      <c r="BT953" s="609"/>
      <c r="BU953" s="609"/>
      <c r="BV953" s="609"/>
      <c r="BW953" s="609"/>
      <c r="BX953" s="609"/>
      <c r="BY953" s="609"/>
      <c r="BZ953" s="609"/>
      <c r="CA953" s="609"/>
      <c r="CB953" s="609"/>
      <c r="CC953" s="609"/>
      <c r="CD953" s="609"/>
      <c r="CE953" s="609"/>
      <c r="CF953" s="609"/>
      <c r="CG953" s="609"/>
      <c r="CH953" s="609"/>
      <c r="CI953" s="609"/>
      <c r="CJ953" s="609"/>
      <c r="CK953" s="609"/>
      <c r="CL953" s="609"/>
      <c r="CM953" s="609"/>
      <c r="CN953" s="609"/>
      <c r="CO953" s="609"/>
      <c r="CP953" s="609"/>
      <c r="CQ953" s="609"/>
      <c r="CR953" s="609"/>
      <c r="CS953" s="609"/>
      <c r="CT953" s="609"/>
      <c r="CU953" s="609"/>
      <c r="CV953" s="609"/>
      <c r="CW953" s="609"/>
      <c r="CX953" s="609"/>
      <c r="CY953" s="609"/>
      <c r="CZ953" s="609"/>
      <c r="DA953" s="609"/>
      <c r="DB953" s="609"/>
      <c r="DC953" s="609"/>
      <c r="DD953" s="609"/>
      <c r="DE953" s="609"/>
      <c r="DF953" s="609"/>
      <c r="DG953" s="609"/>
      <c r="DH953" s="609"/>
      <c r="DI953" s="609"/>
      <c r="DJ953" s="609"/>
      <c r="DK953" s="609"/>
      <c r="DL953" s="609"/>
      <c r="DM953" s="609"/>
      <c r="DN953" s="609"/>
      <c r="DO953" s="609"/>
      <c r="DP953" s="609"/>
      <c r="DQ953" s="609"/>
      <c r="DR953" s="609"/>
      <c r="DS953" s="609"/>
      <c r="DT953" s="609"/>
      <c r="DU953" s="609"/>
      <c r="DV953" s="609"/>
      <c r="DW953" s="609"/>
      <c r="DX953" s="609"/>
      <c r="DY953" s="609"/>
      <c r="DZ953" s="609"/>
      <c r="EA953" s="609"/>
      <c r="EB953" s="609"/>
      <c r="EC953" s="609"/>
      <c r="ED953" s="609"/>
      <c r="EE953" s="609"/>
      <c r="EF953" s="609"/>
      <c r="EG953" s="609"/>
      <c r="EH953" s="609"/>
      <c r="EI953" s="609"/>
      <c r="EJ953" s="609"/>
      <c r="EK953" s="609"/>
      <c r="EL953" s="609"/>
      <c r="EM953" s="609"/>
      <c r="EN953" s="609"/>
      <c r="EO953" s="609"/>
      <c r="EP953" s="609"/>
      <c r="EQ953" s="609"/>
      <c r="ER953" s="609"/>
      <c r="ES953" s="609"/>
      <c r="ET953" s="609"/>
      <c r="EU953" s="609"/>
      <c r="EV953" s="609"/>
      <c r="EW953" s="609"/>
      <c r="EX953" s="609"/>
      <c r="EY953" s="609"/>
      <c r="EZ953" s="609"/>
      <c r="FA953" s="609"/>
      <c r="FB953" s="609"/>
      <c r="FC953" s="609"/>
      <c r="FD953" s="609"/>
      <c r="FE953" s="609"/>
      <c r="FF953" s="609"/>
      <c r="FG953" s="609"/>
      <c r="FH953" s="609"/>
      <c r="FI953" s="609"/>
      <c r="FJ953" s="609"/>
      <c r="FK953" s="609"/>
      <c r="FL953" s="609"/>
      <c r="FM953" s="609"/>
      <c r="FN953" s="609"/>
      <c r="FO953" s="609"/>
      <c r="FP953" s="609"/>
      <c r="FQ953" s="609"/>
      <c r="FR953" s="609"/>
      <c r="FS953" s="609"/>
      <c r="FT953" s="609"/>
      <c r="FU953" s="609"/>
      <c r="FV953" s="609"/>
      <c r="FW953" s="609"/>
      <c r="FX953" s="609"/>
      <c r="FY953" s="609"/>
      <c r="FZ953" s="609"/>
      <c r="GA953" s="609"/>
      <c r="GB953" s="609"/>
      <c r="GC953" s="609"/>
      <c r="GD953" s="609"/>
      <c r="GE953" s="609"/>
      <c r="GF953" s="609"/>
      <c r="GG953" s="609"/>
      <c r="GH953" s="609"/>
      <c r="GI953" s="609"/>
      <c r="GJ953" s="609"/>
      <c r="GK953" s="609"/>
      <c r="GL953" s="609"/>
      <c r="GM953" s="609"/>
      <c r="GN953" s="609"/>
      <c r="GO953" s="609"/>
      <c r="GP953" s="609"/>
      <c r="GQ953" s="609"/>
      <c r="GR953" s="609"/>
      <c r="GS953" s="609"/>
      <c r="GT953" s="609"/>
      <c r="GU953" s="609"/>
      <c r="GV953" s="609"/>
      <c r="GW953" s="609"/>
      <c r="GX953" s="609"/>
      <c r="GY953" s="609"/>
      <c r="GZ953" s="609"/>
      <c r="HA953" s="609"/>
      <c r="HB953" s="609"/>
      <c r="HC953" s="609"/>
      <c r="HD953" s="609"/>
      <c r="HE953" s="609"/>
      <c r="HF953" s="609"/>
      <c r="HG953" s="609"/>
      <c r="HH953" s="609"/>
      <c r="HI953" s="609"/>
      <c r="HJ953" s="609"/>
      <c r="HK953" s="609"/>
      <c r="HL953" s="609"/>
      <c r="HM953" s="609"/>
      <c r="HN953" s="609"/>
      <c r="HO953" s="609"/>
      <c r="HP953" s="609"/>
      <c r="HQ953" s="609"/>
      <c r="HR953" s="609"/>
      <c r="HS953" s="609"/>
      <c r="HT953" s="609"/>
      <c r="HU953" s="609"/>
      <c r="HV953" s="609"/>
      <c r="HW953" s="609"/>
      <c r="HX953" s="609"/>
      <c r="HY953" s="609"/>
      <c r="HZ953" s="609"/>
      <c r="IA953" s="609"/>
      <c r="IB953" s="609"/>
      <c r="IC953" s="609"/>
      <c r="ID953" s="609"/>
      <c r="IE953" s="609"/>
      <c r="IF953" s="609"/>
      <c r="IG953" s="609"/>
      <c r="IH953" s="609"/>
      <c r="II953" s="609"/>
      <c r="IJ953" s="609"/>
      <c r="IK953" s="609"/>
      <c r="IL953" s="609"/>
      <c r="IM953" s="609"/>
      <c r="IN953" s="609"/>
      <c r="IO953" s="609"/>
      <c r="IP953" s="609"/>
      <c r="IQ953" s="609"/>
      <c r="IR953" s="609"/>
      <c r="IS953" s="609"/>
      <c r="IT953" s="609"/>
      <c r="IU953" s="609"/>
      <c r="IV953" s="609"/>
    </row>
    <row r="954" spans="1:256" s="642" customFormat="1" x14ac:dyDescent="0.25">
      <c r="A954" s="675"/>
      <c r="B954" s="675"/>
      <c r="C954" s="675" t="s">
        <v>1689</v>
      </c>
      <c r="D954" s="620" t="s">
        <v>1690</v>
      </c>
      <c r="E954" s="675" t="s">
        <v>251</v>
      </c>
      <c r="F954" s="620"/>
      <c r="G954" s="713"/>
      <c r="H954" s="620">
        <v>3</v>
      </c>
      <c r="I954" s="714">
        <f>SUM(I955:I957)</f>
        <v>5.94</v>
      </c>
      <c r="J954" s="714">
        <f>SUM(J955:J957)</f>
        <v>1.33</v>
      </c>
      <c r="K954" s="715">
        <f>I954+J954</f>
        <v>7.2700000000000005</v>
      </c>
      <c r="L954" s="622">
        <f>H954*I954</f>
        <v>17.82</v>
      </c>
      <c r="M954" s="622">
        <f>H954*J954</f>
        <v>3.99</v>
      </c>
      <c r="N954" s="622">
        <f>L954+M954</f>
        <v>21.810000000000002</v>
      </c>
      <c r="O954" s="622">
        <f>N954*$P$4</f>
        <v>5.3565360000000011</v>
      </c>
      <c r="P954" s="622">
        <f>N954+O954</f>
        <v>27.166536000000004</v>
      </c>
      <c r="Q954" s="609"/>
      <c r="R954" s="609"/>
      <c r="S954" s="609"/>
      <c r="T954" s="609"/>
      <c r="U954" s="609"/>
      <c r="V954" s="609"/>
      <c r="W954" s="609"/>
      <c r="X954" s="609"/>
      <c r="Y954" s="609"/>
      <c r="Z954" s="609"/>
      <c r="AA954" s="609"/>
      <c r="AB954" s="609"/>
      <c r="AC954" s="609"/>
      <c r="AD954" s="609"/>
      <c r="AE954" s="609"/>
      <c r="AF954" s="609"/>
      <c r="AG954" s="609"/>
      <c r="AH954" s="609"/>
      <c r="AI954" s="609"/>
      <c r="AJ954" s="609"/>
      <c r="AK954" s="609"/>
      <c r="AL954" s="609"/>
      <c r="AM954" s="609"/>
      <c r="AN954" s="609"/>
      <c r="AO954" s="609"/>
      <c r="AP954" s="609"/>
      <c r="AQ954" s="609"/>
      <c r="AR954" s="609"/>
      <c r="AS954" s="609"/>
      <c r="AT954" s="609"/>
      <c r="AU954" s="609"/>
      <c r="AV954" s="609"/>
      <c r="AW954" s="609"/>
      <c r="AX954" s="609"/>
      <c r="AY954" s="609"/>
      <c r="AZ954" s="609"/>
      <c r="BA954" s="609"/>
      <c r="BB954" s="609"/>
      <c r="BC954" s="609"/>
      <c r="BD954" s="609"/>
      <c r="BE954" s="609"/>
      <c r="BF954" s="609"/>
      <c r="BG954" s="609"/>
      <c r="BH954" s="609"/>
      <c r="BI954" s="609"/>
      <c r="BJ954" s="609"/>
      <c r="BK954" s="609"/>
      <c r="BL954" s="609"/>
      <c r="BM954" s="609"/>
      <c r="BN954" s="609"/>
      <c r="BO954" s="609"/>
      <c r="BP954" s="609"/>
      <c r="BQ954" s="609"/>
      <c r="BR954" s="609"/>
      <c r="BS954" s="609"/>
      <c r="BT954" s="609"/>
      <c r="BU954" s="609"/>
      <c r="BV954" s="609"/>
      <c r="BW954" s="609"/>
      <c r="BX954" s="609"/>
      <c r="BY954" s="609"/>
      <c r="BZ954" s="609"/>
      <c r="CA954" s="609"/>
      <c r="CB954" s="609"/>
      <c r="CC954" s="609"/>
      <c r="CD954" s="609"/>
      <c r="CE954" s="609"/>
      <c r="CF954" s="609"/>
      <c r="CG954" s="609"/>
      <c r="CH954" s="609"/>
      <c r="CI954" s="609"/>
      <c r="CJ954" s="609"/>
      <c r="CK954" s="609"/>
      <c r="CL954" s="609"/>
      <c r="CM954" s="609"/>
      <c r="CN954" s="609"/>
      <c r="CO954" s="609"/>
      <c r="CP954" s="609"/>
      <c r="CQ954" s="609"/>
      <c r="CR954" s="609"/>
      <c r="CS954" s="609"/>
      <c r="CT954" s="609"/>
      <c r="CU954" s="609"/>
      <c r="CV954" s="609"/>
      <c r="CW954" s="609"/>
      <c r="CX954" s="609"/>
      <c r="CY954" s="609"/>
      <c r="CZ954" s="609"/>
      <c r="DA954" s="609"/>
      <c r="DB954" s="609"/>
      <c r="DC954" s="609"/>
      <c r="DD954" s="609"/>
      <c r="DE954" s="609"/>
      <c r="DF954" s="609"/>
      <c r="DG954" s="609"/>
      <c r="DH954" s="609"/>
      <c r="DI954" s="609"/>
      <c r="DJ954" s="609"/>
      <c r="DK954" s="609"/>
      <c r="DL954" s="609"/>
      <c r="DM954" s="609"/>
      <c r="DN954" s="609"/>
      <c r="DO954" s="609"/>
      <c r="DP954" s="609"/>
      <c r="DQ954" s="609"/>
      <c r="DR954" s="609"/>
      <c r="DS954" s="609"/>
      <c r="DT954" s="609"/>
      <c r="DU954" s="609"/>
      <c r="DV954" s="609"/>
      <c r="DW954" s="609"/>
      <c r="DX954" s="609"/>
      <c r="DY954" s="609"/>
      <c r="DZ954" s="609"/>
      <c r="EA954" s="609"/>
      <c r="EB954" s="609"/>
      <c r="EC954" s="609"/>
      <c r="ED954" s="609"/>
      <c r="EE954" s="609"/>
      <c r="EF954" s="609"/>
      <c r="EG954" s="609"/>
      <c r="EH954" s="609"/>
      <c r="EI954" s="609"/>
      <c r="EJ954" s="609"/>
      <c r="EK954" s="609"/>
      <c r="EL954" s="609"/>
      <c r="EM954" s="609"/>
      <c r="EN954" s="609"/>
      <c r="EO954" s="609"/>
      <c r="EP954" s="609"/>
      <c r="EQ954" s="609"/>
      <c r="ER954" s="609"/>
      <c r="ES954" s="609"/>
      <c r="ET954" s="609"/>
      <c r="EU954" s="609"/>
      <c r="EV954" s="609"/>
      <c r="EW954" s="609"/>
      <c r="EX954" s="609"/>
      <c r="EY954" s="609"/>
      <c r="EZ954" s="609"/>
      <c r="FA954" s="609"/>
      <c r="FB954" s="609"/>
      <c r="FC954" s="609"/>
      <c r="FD954" s="609"/>
      <c r="FE954" s="609"/>
      <c r="FF954" s="609"/>
      <c r="FG954" s="609"/>
      <c r="FH954" s="609"/>
      <c r="FI954" s="609"/>
      <c r="FJ954" s="609"/>
      <c r="FK954" s="609"/>
      <c r="FL954" s="609"/>
      <c r="FM954" s="609"/>
      <c r="FN954" s="609"/>
      <c r="FO954" s="609"/>
      <c r="FP954" s="609"/>
      <c r="FQ954" s="609"/>
      <c r="FR954" s="609"/>
      <c r="FS954" s="609"/>
      <c r="FT954" s="609"/>
      <c r="FU954" s="609"/>
      <c r="FV954" s="609"/>
      <c r="FW954" s="609"/>
      <c r="FX954" s="609"/>
      <c r="FY954" s="609"/>
      <c r="FZ954" s="609"/>
      <c r="GA954" s="609"/>
      <c r="GB954" s="609"/>
      <c r="GC954" s="609"/>
      <c r="GD954" s="609"/>
      <c r="GE954" s="609"/>
      <c r="GF954" s="609"/>
      <c r="GG954" s="609"/>
      <c r="GH954" s="609"/>
      <c r="GI954" s="609"/>
      <c r="GJ954" s="609"/>
      <c r="GK954" s="609"/>
      <c r="GL954" s="609"/>
      <c r="GM954" s="609"/>
      <c r="GN954" s="609"/>
      <c r="GO954" s="609"/>
      <c r="GP954" s="609"/>
      <c r="GQ954" s="609"/>
      <c r="GR954" s="609"/>
      <c r="GS954" s="609"/>
      <c r="GT954" s="609"/>
      <c r="GU954" s="609"/>
      <c r="GV954" s="609"/>
      <c r="GW954" s="609"/>
      <c r="GX954" s="609"/>
      <c r="GY954" s="609"/>
      <c r="GZ954" s="609"/>
      <c r="HA954" s="609"/>
      <c r="HB954" s="609"/>
      <c r="HC954" s="609"/>
      <c r="HD954" s="609"/>
      <c r="HE954" s="609"/>
      <c r="HF954" s="609"/>
      <c r="HG954" s="609"/>
      <c r="HH954" s="609"/>
      <c r="HI954" s="609"/>
      <c r="HJ954" s="609"/>
      <c r="HK954" s="609"/>
      <c r="HL954" s="609"/>
      <c r="HM954" s="609"/>
      <c r="HN954" s="609"/>
      <c r="HO954" s="609"/>
      <c r="HP954" s="609"/>
      <c r="HQ954" s="609"/>
      <c r="HR954" s="609"/>
      <c r="HS954" s="609"/>
      <c r="HT954" s="609"/>
      <c r="HU954" s="609"/>
      <c r="HV954" s="609"/>
      <c r="HW954" s="609"/>
      <c r="HX954" s="609"/>
      <c r="HY954" s="609"/>
      <c r="HZ954" s="609"/>
      <c r="IA954" s="609"/>
      <c r="IB954" s="609"/>
      <c r="IC954" s="609"/>
      <c r="ID954" s="609"/>
      <c r="IE954" s="609"/>
      <c r="IF954" s="609"/>
      <c r="IG954" s="609"/>
      <c r="IH954" s="609"/>
      <c r="II954" s="609"/>
      <c r="IJ954" s="609"/>
      <c r="IK954" s="609"/>
      <c r="IL954" s="609"/>
      <c r="IM954" s="609"/>
      <c r="IN954" s="609"/>
      <c r="IO954" s="609"/>
      <c r="IP954" s="609"/>
      <c r="IQ954" s="609"/>
      <c r="IR954" s="609"/>
      <c r="IS954" s="609"/>
      <c r="IT954" s="609"/>
      <c r="IU954" s="609"/>
      <c r="IV954" s="609"/>
    </row>
    <row r="955" spans="1:256" s="642" customFormat="1" ht="36" x14ac:dyDescent="0.25">
      <c r="A955" s="636" t="s">
        <v>1108</v>
      </c>
      <c r="B955" s="636"/>
      <c r="C955" s="636"/>
      <c r="D955" s="612" t="s">
        <v>1691</v>
      </c>
      <c r="E955" s="636" t="s">
        <v>251</v>
      </c>
      <c r="F955" s="612">
        <v>1</v>
      </c>
      <c r="G955" s="690">
        <v>5.94</v>
      </c>
      <c r="H955" s="612"/>
      <c r="I955" s="717">
        <f>ROUND(F955*G955,2)</f>
        <v>5.94</v>
      </c>
      <c r="J955" s="718"/>
      <c r="K955" s="682"/>
      <c r="L955" s="612"/>
      <c r="M955" s="612"/>
      <c r="N955" s="612"/>
      <c r="O955" s="612"/>
      <c r="P955" s="612"/>
      <c r="Q955" s="609"/>
      <c r="R955" s="609"/>
      <c r="S955" s="609"/>
      <c r="T955" s="609"/>
      <c r="U955" s="609"/>
      <c r="V955" s="609"/>
      <c r="W955" s="609"/>
      <c r="X955" s="609"/>
      <c r="Y955" s="609"/>
      <c r="Z955" s="609"/>
      <c r="AA955" s="609"/>
      <c r="AB955" s="609"/>
      <c r="AC955" s="609"/>
      <c r="AD955" s="609"/>
      <c r="AE955" s="609"/>
      <c r="AF955" s="609"/>
      <c r="AG955" s="609"/>
      <c r="AH955" s="609"/>
      <c r="AI955" s="609"/>
      <c r="AJ955" s="609"/>
      <c r="AK955" s="609"/>
      <c r="AL955" s="609"/>
      <c r="AM955" s="609"/>
      <c r="AN955" s="609"/>
      <c r="AO955" s="609"/>
      <c r="AP955" s="609"/>
      <c r="AQ955" s="609"/>
      <c r="AR955" s="609"/>
      <c r="AS955" s="609"/>
      <c r="AT955" s="609"/>
      <c r="AU955" s="609"/>
      <c r="AV955" s="609"/>
      <c r="AW955" s="609"/>
      <c r="AX955" s="609"/>
      <c r="AY955" s="609"/>
      <c r="AZ955" s="609"/>
      <c r="BA955" s="609"/>
      <c r="BB955" s="609"/>
      <c r="BC955" s="609"/>
      <c r="BD955" s="609"/>
      <c r="BE955" s="609"/>
      <c r="BF955" s="609"/>
      <c r="BG955" s="609"/>
      <c r="BH955" s="609"/>
      <c r="BI955" s="609"/>
      <c r="BJ955" s="609"/>
      <c r="BK955" s="609"/>
      <c r="BL955" s="609"/>
      <c r="BM955" s="609"/>
      <c r="BN955" s="609"/>
      <c r="BO955" s="609"/>
      <c r="BP955" s="609"/>
      <c r="BQ955" s="609"/>
      <c r="BR955" s="609"/>
      <c r="BS955" s="609"/>
      <c r="BT955" s="609"/>
      <c r="BU955" s="609"/>
      <c r="BV955" s="609"/>
      <c r="BW955" s="609"/>
      <c r="BX955" s="609"/>
      <c r="BY955" s="609"/>
      <c r="BZ955" s="609"/>
      <c r="CA955" s="609"/>
      <c r="CB955" s="609"/>
      <c r="CC955" s="609"/>
      <c r="CD955" s="609"/>
      <c r="CE955" s="609"/>
      <c r="CF955" s="609"/>
      <c r="CG955" s="609"/>
      <c r="CH955" s="609"/>
      <c r="CI955" s="609"/>
      <c r="CJ955" s="609"/>
      <c r="CK955" s="609"/>
      <c r="CL955" s="609"/>
      <c r="CM955" s="609"/>
      <c r="CN955" s="609"/>
      <c r="CO955" s="609"/>
      <c r="CP955" s="609"/>
      <c r="CQ955" s="609"/>
      <c r="CR955" s="609"/>
      <c r="CS955" s="609"/>
      <c r="CT955" s="609"/>
      <c r="CU955" s="609"/>
      <c r="CV955" s="609"/>
      <c r="CW955" s="609"/>
      <c r="CX955" s="609"/>
      <c r="CY955" s="609"/>
      <c r="CZ955" s="609"/>
      <c r="DA955" s="609"/>
      <c r="DB955" s="609"/>
      <c r="DC955" s="609"/>
      <c r="DD955" s="609"/>
      <c r="DE955" s="609"/>
      <c r="DF955" s="609"/>
      <c r="DG955" s="609"/>
      <c r="DH955" s="609"/>
      <c r="DI955" s="609"/>
      <c r="DJ955" s="609"/>
      <c r="DK955" s="609"/>
      <c r="DL955" s="609"/>
      <c r="DM955" s="609"/>
      <c r="DN955" s="609"/>
      <c r="DO955" s="609"/>
      <c r="DP955" s="609"/>
      <c r="DQ955" s="609"/>
      <c r="DR955" s="609"/>
      <c r="DS955" s="609"/>
      <c r="DT955" s="609"/>
      <c r="DU955" s="609"/>
      <c r="DV955" s="609"/>
      <c r="DW955" s="609"/>
      <c r="DX955" s="609"/>
      <c r="DY955" s="609"/>
      <c r="DZ955" s="609"/>
      <c r="EA955" s="609"/>
      <c r="EB955" s="609"/>
      <c r="EC955" s="609"/>
      <c r="ED955" s="609"/>
      <c r="EE955" s="609"/>
      <c r="EF955" s="609"/>
      <c r="EG955" s="609"/>
      <c r="EH955" s="609"/>
      <c r="EI955" s="609"/>
      <c r="EJ955" s="609"/>
      <c r="EK955" s="609"/>
      <c r="EL955" s="609"/>
      <c r="EM955" s="609"/>
      <c r="EN955" s="609"/>
      <c r="EO955" s="609"/>
      <c r="EP955" s="609"/>
      <c r="EQ955" s="609"/>
      <c r="ER955" s="609"/>
      <c r="ES955" s="609"/>
      <c r="ET955" s="609"/>
      <c r="EU955" s="609"/>
      <c r="EV955" s="609"/>
      <c r="EW955" s="609"/>
      <c r="EX955" s="609"/>
      <c r="EY955" s="609"/>
      <c r="EZ955" s="609"/>
      <c r="FA955" s="609"/>
      <c r="FB955" s="609"/>
      <c r="FC955" s="609"/>
      <c r="FD955" s="609"/>
      <c r="FE955" s="609"/>
      <c r="FF955" s="609"/>
      <c r="FG955" s="609"/>
      <c r="FH955" s="609"/>
      <c r="FI955" s="609"/>
      <c r="FJ955" s="609"/>
      <c r="FK955" s="609"/>
      <c r="FL955" s="609"/>
      <c r="FM955" s="609"/>
      <c r="FN955" s="609"/>
      <c r="FO955" s="609"/>
      <c r="FP955" s="609"/>
      <c r="FQ955" s="609"/>
      <c r="FR955" s="609"/>
      <c r="FS955" s="609"/>
      <c r="FT955" s="609"/>
      <c r="FU955" s="609"/>
      <c r="FV955" s="609"/>
      <c r="FW955" s="609"/>
      <c r="FX955" s="609"/>
      <c r="FY955" s="609"/>
      <c r="FZ955" s="609"/>
      <c r="GA955" s="609"/>
      <c r="GB955" s="609"/>
      <c r="GC955" s="609"/>
      <c r="GD955" s="609"/>
      <c r="GE955" s="609"/>
      <c r="GF955" s="609"/>
      <c r="GG955" s="609"/>
      <c r="GH955" s="609"/>
      <c r="GI955" s="609"/>
      <c r="GJ955" s="609"/>
      <c r="GK955" s="609"/>
      <c r="GL955" s="609"/>
      <c r="GM955" s="609"/>
      <c r="GN955" s="609"/>
      <c r="GO955" s="609"/>
      <c r="GP955" s="609"/>
      <c r="GQ955" s="609"/>
      <c r="GR955" s="609"/>
      <c r="GS955" s="609"/>
      <c r="GT955" s="609"/>
      <c r="GU955" s="609"/>
      <c r="GV955" s="609"/>
      <c r="GW955" s="609"/>
      <c r="GX955" s="609"/>
      <c r="GY955" s="609"/>
      <c r="GZ955" s="609"/>
      <c r="HA955" s="609"/>
      <c r="HB955" s="609"/>
      <c r="HC955" s="609"/>
      <c r="HD955" s="609"/>
      <c r="HE955" s="609"/>
      <c r="HF955" s="609"/>
      <c r="HG955" s="609"/>
      <c r="HH955" s="609"/>
      <c r="HI955" s="609"/>
      <c r="HJ955" s="609"/>
      <c r="HK955" s="609"/>
      <c r="HL955" s="609"/>
      <c r="HM955" s="609"/>
      <c r="HN955" s="609"/>
      <c r="HO955" s="609"/>
      <c r="HP955" s="609"/>
      <c r="HQ955" s="609"/>
      <c r="HR955" s="609"/>
      <c r="HS955" s="609"/>
      <c r="HT955" s="609"/>
      <c r="HU955" s="609"/>
      <c r="HV955" s="609"/>
      <c r="HW955" s="609"/>
      <c r="HX955" s="609"/>
      <c r="HY955" s="609"/>
      <c r="HZ955" s="609"/>
      <c r="IA955" s="609"/>
      <c r="IB955" s="609"/>
      <c r="IC955" s="609"/>
      <c r="ID955" s="609"/>
      <c r="IE955" s="609"/>
      <c r="IF955" s="609"/>
      <c r="IG955" s="609"/>
      <c r="IH955" s="609"/>
      <c r="II955" s="609"/>
      <c r="IJ955" s="609"/>
      <c r="IK955" s="609"/>
      <c r="IL955" s="609"/>
      <c r="IM955" s="609"/>
      <c r="IN955" s="609"/>
      <c r="IO955" s="609"/>
      <c r="IP955" s="609"/>
      <c r="IQ955" s="609"/>
      <c r="IR955" s="609"/>
      <c r="IS955" s="609"/>
      <c r="IT955" s="609"/>
      <c r="IU955" s="609"/>
      <c r="IV955" s="609"/>
    </row>
    <row r="956" spans="1:256" s="642" customFormat="1" x14ac:dyDescent="0.25">
      <c r="A956" s="624" t="s">
        <v>277</v>
      </c>
      <c r="B956" s="666">
        <v>2436</v>
      </c>
      <c r="C956" s="636"/>
      <c r="D956" s="612" t="s">
        <v>1069</v>
      </c>
      <c r="E956" s="636" t="s">
        <v>229</v>
      </c>
      <c r="F956" s="612">
        <v>0.06</v>
      </c>
      <c r="G956" s="681">
        <v>12.57</v>
      </c>
      <c r="H956" s="612"/>
      <c r="I956" s="612"/>
      <c r="J956" s="718">
        <f>ROUND(F956*G956,2)</f>
        <v>0.75</v>
      </c>
      <c r="K956" s="682"/>
      <c r="L956" s="612"/>
      <c r="M956" s="612"/>
      <c r="N956" s="612"/>
      <c r="O956" s="612"/>
      <c r="P956" s="612"/>
      <c r="Q956" s="609"/>
      <c r="R956" s="609"/>
      <c r="S956" s="609"/>
      <c r="T956" s="609"/>
      <c r="U956" s="609"/>
      <c r="V956" s="609"/>
      <c r="W956" s="609"/>
      <c r="X956" s="609"/>
      <c r="Y956" s="609"/>
      <c r="Z956" s="609"/>
      <c r="AA956" s="609"/>
      <c r="AB956" s="609"/>
      <c r="AC956" s="609"/>
      <c r="AD956" s="609"/>
      <c r="AE956" s="609"/>
      <c r="AF956" s="609"/>
      <c r="AG956" s="609"/>
      <c r="AH956" s="609"/>
      <c r="AI956" s="609"/>
      <c r="AJ956" s="609"/>
      <c r="AK956" s="609"/>
      <c r="AL956" s="609"/>
      <c r="AM956" s="609"/>
      <c r="AN956" s="609"/>
      <c r="AO956" s="609"/>
      <c r="AP956" s="609"/>
      <c r="AQ956" s="609"/>
      <c r="AR956" s="609"/>
      <c r="AS956" s="609"/>
      <c r="AT956" s="609"/>
      <c r="AU956" s="609"/>
      <c r="AV956" s="609"/>
      <c r="AW956" s="609"/>
      <c r="AX956" s="609"/>
      <c r="AY956" s="609"/>
      <c r="AZ956" s="609"/>
      <c r="BA956" s="609"/>
      <c r="BB956" s="609"/>
      <c r="BC956" s="609"/>
      <c r="BD956" s="609"/>
      <c r="BE956" s="609"/>
      <c r="BF956" s="609"/>
      <c r="BG956" s="609"/>
      <c r="BH956" s="609"/>
      <c r="BI956" s="609"/>
      <c r="BJ956" s="609"/>
      <c r="BK956" s="609"/>
      <c r="BL956" s="609"/>
      <c r="BM956" s="609"/>
      <c r="BN956" s="609"/>
      <c r="BO956" s="609"/>
      <c r="BP956" s="609"/>
      <c r="BQ956" s="609"/>
      <c r="BR956" s="609"/>
      <c r="BS956" s="609"/>
      <c r="BT956" s="609"/>
      <c r="BU956" s="609"/>
      <c r="BV956" s="609"/>
      <c r="BW956" s="609"/>
      <c r="BX956" s="609"/>
      <c r="BY956" s="609"/>
      <c r="BZ956" s="609"/>
      <c r="CA956" s="609"/>
      <c r="CB956" s="609"/>
      <c r="CC956" s="609"/>
      <c r="CD956" s="609"/>
      <c r="CE956" s="609"/>
      <c r="CF956" s="609"/>
      <c r="CG956" s="609"/>
      <c r="CH956" s="609"/>
      <c r="CI956" s="609"/>
      <c r="CJ956" s="609"/>
      <c r="CK956" s="609"/>
      <c r="CL956" s="609"/>
      <c r="CM956" s="609"/>
      <c r="CN956" s="609"/>
      <c r="CO956" s="609"/>
      <c r="CP956" s="609"/>
      <c r="CQ956" s="609"/>
      <c r="CR956" s="609"/>
      <c r="CS956" s="609"/>
      <c r="CT956" s="609"/>
      <c r="CU956" s="609"/>
      <c r="CV956" s="609"/>
      <c r="CW956" s="609"/>
      <c r="CX956" s="609"/>
      <c r="CY956" s="609"/>
      <c r="CZ956" s="609"/>
      <c r="DA956" s="609"/>
      <c r="DB956" s="609"/>
      <c r="DC956" s="609"/>
      <c r="DD956" s="609"/>
      <c r="DE956" s="609"/>
      <c r="DF956" s="609"/>
      <c r="DG956" s="609"/>
      <c r="DH956" s="609"/>
      <c r="DI956" s="609"/>
      <c r="DJ956" s="609"/>
      <c r="DK956" s="609"/>
      <c r="DL956" s="609"/>
      <c r="DM956" s="609"/>
      <c r="DN956" s="609"/>
      <c r="DO956" s="609"/>
      <c r="DP956" s="609"/>
      <c r="DQ956" s="609"/>
      <c r="DR956" s="609"/>
      <c r="DS956" s="609"/>
      <c r="DT956" s="609"/>
      <c r="DU956" s="609"/>
      <c r="DV956" s="609"/>
      <c r="DW956" s="609"/>
      <c r="DX956" s="609"/>
      <c r="DY956" s="609"/>
      <c r="DZ956" s="609"/>
      <c r="EA956" s="609"/>
      <c r="EB956" s="609"/>
      <c r="EC956" s="609"/>
      <c r="ED956" s="609"/>
      <c r="EE956" s="609"/>
      <c r="EF956" s="609"/>
      <c r="EG956" s="609"/>
      <c r="EH956" s="609"/>
      <c r="EI956" s="609"/>
      <c r="EJ956" s="609"/>
      <c r="EK956" s="609"/>
      <c r="EL956" s="609"/>
      <c r="EM956" s="609"/>
      <c r="EN956" s="609"/>
      <c r="EO956" s="609"/>
      <c r="EP956" s="609"/>
      <c r="EQ956" s="609"/>
      <c r="ER956" s="609"/>
      <c r="ES956" s="609"/>
      <c r="ET956" s="609"/>
      <c r="EU956" s="609"/>
      <c r="EV956" s="609"/>
      <c r="EW956" s="609"/>
      <c r="EX956" s="609"/>
      <c r="EY956" s="609"/>
      <c r="EZ956" s="609"/>
      <c r="FA956" s="609"/>
      <c r="FB956" s="609"/>
      <c r="FC956" s="609"/>
      <c r="FD956" s="609"/>
      <c r="FE956" s="609"/>
      <c r="FF956" s="609"/>
      <c r="FG956" s="609"/>
      <c r="FH956" s="609"/>
      <c r="FI956" s="609"/>
      <c r="FJ956" s="609"/>
      <c r="FK956" s="609"/>
      <c r="FL956" s="609"/>
      <c r="FM956" s="609"/>
      <c r="FN956" s="609"/>
      <c r="FO956" s="609"/>
      <c r="FP956" s="609"/>
      <c r="FQ956" s="609"/>
      <c r="FR956" s="609"/>
      <c r="FS956" s="609"/>
      <c r="FT956" s="609"/>
      <c r="FU956" s="609"/>
      <c r="FV956" s="609"/>
      <c r="FW956" s="609"/>
      <c r="FX956" s="609"/>
      <c r="FY956" s="609"/>
      <c r="FZ956" s="609"/>
      <c r="GA956" s="609"/>
      <c r="GB956" s="609"/>
      <c r="GC956" s="609"/>
      <c r="GD956" s="609"/>
      <c r="GE956" s="609"/>
      <c r="GF956" s="609"/>
      <c r="GG956" s="609"/>
      <c r="GH956" s="609"/>
      <c r="GI956" s="609"/>
      <c r="GJ956" s="609"/>
      <c r="GK956" s="609"/>
      <c r="GL956" s="609"/>
      <c r="GM956" s="609"/>
      <c r="GN956" s="609"/>
      <c r="GO956" s="609"/>
      <c r="GP956" s="609"/>
      <c r="GQ956" s="609"/>
      <c r="GR956" s="609"/>
      <c r="GS956" s="609"/>
      <c r="GT956" s="609"/>
      <c r="GU956" s="609"/>
      <c r="GV956" s="609"/>
      <c r="GW956" s="609"/>
      <c r="GX956" s="609"/>
      <c r="GY956" s="609"/>
      <c r="GZ956" s="609"/>
      <c r="HA956" s="609"/>
      <c r="HB956" s="609"/>
      <c r="HC956" s="609"/>
      <c r="HD956" s="609"/>
      <c r="HE956" s="609"/>
      <c r="HF956" s="609"/>
      <c r="HG956" s="609"/>
      <c r="HH956" s="609"/>
      <c r="HI956" s="609"/>
      <c r="HJ956" s="609"/>
      <c r="HK956" s="609"/>
      <c r="HL956" s="609"/>
      <c r="HM956" s="609"/>
      <c r="HN956" s="609"/>
      <c r="HO956" s="609"/>
      <c r="HP956" s="609"/>
      <c r="HQ956" s="609"/>
      <c r="HR956" s="609"/>
      <c r="HS956" s="609"/>
      <c r="HT956" s="609"/>
      <c r="HU956" s="609"/>
      <c r="HV956" s="609"/>
      <c r="HW956" s="609"/>
      <c r="HX956" s="609"/>
      <c r="HY956" s="609"/>
      <c r="HZ956" s="609"/>
      <c r="IA956" s="609"/>
      <c r="IB956" s="609"/>
      <c r="IC956" s="609"/>
      <c r="ID956" s="609"/>
      <c r="IE956" s="609"/>
      <c r="IF956" s="609"/>
      <c r="IG956" s="609"/>
      <c r="IH956" s="609"/>
      <c r="II956" s="609"/>
      <c r="IJ956" s="609"/>
      <c r="IK956" s="609"/>
      <c r="IL956" s="609"/>
      <c r="IM956" s="609"/>
      <c r="IN956" s="609"/>
      <c r="IO956" s="609"/>
      <c r="IP956" s="609"/>
      <c r="IQ956" s="609"/>
      <c r="IR956" s="609"/>
      <c r="IS956" s="609"/>
      <c r="IT956" s="609"/>
      <c r="IU956" s="609"/>
      <c r="IV956" s="609"/>
    </row>
    <row r="957" spans="1:256" s="642" customFormat="1" x14ac:dyDescent="0.25">
      <c r="A957" s="624" t="s">
        <v>277</v>
      </c>
      <c r="B957" s="666">
        <v>247</v>
      </c>
      <c r="C957" s="636"/>
      <c r="D957" s="612" t="s">
        <v>1070</v>
      </c>
      <c r="E957" s="636" t="s">
        <v>229</v>
      </c>
      <c r="F957" s="612">
        <v>0.06</v>
      </c>
      <c r="G957" s="681">
        <v>9.65</v>
      </c>
      <c r="H957" s="612"/>
      <c r="I957" s="612"/>
      <c r="J957" s="718">
        <f>ROUND(F957*G957,2)</f>
        <v>0.57999999999999996</v>
      </c>
      <c r="K957" s="682"/>
      <c r="L957" s="612"/>
      <c r="M957" s="612"/>
      <c r="N957" s="612"/>
      <c r="O957" s="612"/>
      <c r="P957" s="612"/>
      <c r="Q957" s="609"/>
      <c r="R957" s="609"/>
      <c r="S957" s="609"/>
      <c r="T957" s="609"/>
      <c r="U957" s="609"/>
      <c r="V957" s="609"/>
      <c r="W957" s="609"/>
      <c r="X957" s="609"/>
      <c r="Y957" s="609"/>
      <c r="Z957" s="609"/>
      <c r="AA957" s="609"/>
      <c r="AB957" s="609"/>
      <c r="AC957" s="609"/>
      <c r="AD957" s="609"/>
      <c r="AE957" s="609"/>
      <c r="AF957" s="609"/>
      <c r="AG957" s="609"/>
      <c r="AH957" s="609"/>
      <c r="AI957" s="609"/>
      <c r="AJ957" s="609"/>
      <c r="AK957" s="609"/>
      <c r="AL957" s="609"/>
      <c r="AM957" s="609"/>
      <c r="AN957" s="609"/>
      <c r="AO957" s="609"/>
      <c r="AP957" s="609"/>
      <c r="AQ957" s="609"/>
      <c r="AR957" s="609"/>
      <c r="AS957" s="609"/>
      <c r="AT957" s="609"/>
      <c r="AU957" s="609"/>
      <c r="AV957" s="609"/>
      <c r="AW957" s="609"/>
      <c r="AX957" s="609"/>
      <c r="AY957" s="609"/>
      <c r="AZ957" s="609"/>
      <c r="BA957" s="609"/>
      <c r="BB957" s="609"/>
      <c r="BC957" s="609"/>
      <c r="BD957" s="609"/>
      <c r="BE957" s="609"/>
      <c r="BF957" s="609"/>
      <c r="BG957" s="609"/>
      <c r="BH957" s="609"/>
      <c r="BI957" s="609"/>
      <c r="BJ957" s="609"/>
      <c r="BK957" s="609"/>
      <c r="BL957" s="609"/>
      <c r="BM957" s="609"/>
      <c r="BN957" s="609"/>
      <c r="BO957" s="609"/>
      <c r="BP957" s="609"/>
      <c r="BQ957" s="609"/>
      <c r="BR957" s="609"/>
      <c r="BS957" s="609"/>
      <c r="BT957" s="609"/>
      <c r="BU957" s="609"/>
      <c r="BV957" s="609"/>
      <c r="BW957" s="609"/>
      <c r="BX957" s="609"/>
      <c r="BY957" s="609"/>
      <c r="BZ957" s="609"/>
      <c r="CA957" s="609"/>
      <c r="CB957" s="609"/>
      <c r="CC957" s="609"/>
      <c r="CD957" s="609"/>
      <c r="CE957" s="609"/>
      <c r="CF957" s="609"/>
      <c r="CG957" s="609"/>
      <c r="CH957" s="609"/>
      <c r="CI957" s="609"/>
      <c r="CJ957" s="609"/>
      <c r="CK957" s="609"/>
      <c r="CL957" s="609"/>
      <c r="CM957" s="609"/>
      <c r="CN957" s="609"/>
      <c r="CO957" s="609"/>
      <c r="CP957" s="609"/>
      <c r="CQ957" s="609"/>
      <c r="CR957" s="609"/>
      <c r="CS957" s="609"/>
      <c r="CT957" s="609"/>
      <c r="CU957" s="609"/>
      <c r="CV957" s="609"/>
      <c r="CW957" s="609"/>
      <c r="CX957" s="609"/>
      <c r="CY957" s="609"/>
      <c r="CZ957" s="609"/>
      <c r="DA957" s="609"/>
      <c r="DB957" s="609"/>
      <c r="DC957" s="609"/>
      <c r="DD957" s="609"/>
      <c r="DE957" s="609"/>
      <c r="DF957" s="609"/>
      <c r="DG957" s="609"/>
      <c r="DH957" s="609"/>
      <c r="DI957" s="609"/>
      <c r="DJ957" s="609"/>
      <c r="DK957" s="609"/>
      <c r="DL957" s="609"/>
      <c r="DM957" s="609"/>
      <c r="DN957" s="609"/>
      <c r="DO957" s="609"/>
      <c r="DP957" s="609"/>
      <c r="DQ957" s="609"/>
      <c r="DR957" s="609"/>
      <c r="DS957" s="609"/>
      <c r="DT957" s="609"/>
      <c r="DU957" s="609"/>
      <c r="DV957" s="609"/>
      <c r="DW957" s="609"/>
      <c r="DX957" s="609"/>
      <c r="DY957" s="609"/>
      <c r="DZ957" s="609"/>
      <c r="EA957" s="609"/>
      <c r="EB957" s="609"/>
      <c r="EC957" s="609"/>
      <c r="ED957" s="609"/>
      <c r="EE957" s="609"/>
      <c r="EF957" s="609"/>
      <c r="EG957" s="609"/>
      <c r="EH957" s="609"/>
      <c r="EI957" s="609"/>
      <c r="EJ957" s="609"/>
      <c r="EK957" s="609"/>
      <c r="EL957" s="609"/>
      <c r="EM957" s="609"/>
      <c r="EN957" s="609"/>
      <c r="EO957" s="609"/>
      <c r="EP957" s="609"/>
      <c r="EQ957" s="609"/>
      <c r="ER957" s="609"/>
      <c r="ES957" s="609"/>
      <c r="ET957" s="609"/>
      <c r="EU957" s="609"/>
      <c r="EV957" s="609"/>
      <c r="EW957" s="609"/>
      <c r="EX957" s="609"/>
      <c r="EY957" s="609"/>
      <c r="EZ957" s="609"/>
      <c r="FA957" s="609"/>
      <c r="FB957" s="609"/>
      <c r="FC957" s="609"/>
      <c r="FD957" s="609"/>
      <c r="FE957" s="609"/>
      <c r="FF957" s="609"/>
      <c r="FG957" s="609"/>
      <c r="FH957" s="609"/>
      <c r="FI957" s="609"/>
      <c r="FJ957" s="609"/>
      <c r="FK957" s="609"/>
      <c r="FL957" s="609"/>
      <c r="FM957" s="609"/>
      <c r="FN957" s="609"/>
      <c r="FO957" s="609"/>
      <c r="FP957" s="609"/>
      <c r="FQ957" s="609"/>
      <c r="FR957" s="609"/>
      <c r="FS957" s="609"/>
      <c r="FT957" s="609"/>
      <c r="FU957" s="609"/>
      <c r="FV957" s="609"/>
      <c r="FW957" s="609"/>
      <c r="FX957" s="609"/>
      <c r="FY957" s="609"/>
      <c r="FZ957" s="609"/>
      <c r="GA957" s="609"/>
      <c r="GB957" s="609"/>
      <c r="GC957" s="609"/>
      <c r="GD957" s="609"/>
      <c r="GE957" s="609"/>
      <c r="GF957" s="609"/>
      <c r="GG957" s="609"/>
      <c r="GH957" s="609"/>
      <c r="GI957" s="609"/>
      <c r="GJ957" s="609"/>
      <c r="GK957" s="609"/>
      <c r="GL957" s="609"/>
      <c r="GM957" s="609"/>
      <c r="GN957" s="609"/>
      <c r="GO957" s="609"/>
      <c r="GP957" s="609"/>
      <c r="GQ957" s="609"/>
      <c r="GR957" s="609"/>
      <c r="GS957" s="609"/>
      <c r="GT957" s="609"/>
      <c r="GU957" s="609"/>
      <c r="GV957" s="609"/>
      <c r="GW957" s="609"/>
      <c r="GX957" s="609"/>
      <c r="GY957" s="609"/>
      <c r="GZ957" s="609"/>
      <c r="HA957" s="609"/>
      <c r="HB957" s="609"/>
      <c r="HC957" s="609"/>
      <c r="HD957" s="609"/>
      <c r="HE957" s="609"/>
      <c r="HF957" s="609"/>
      <c r="HG957" s="609"/>
      <c r="HH957" s="609"/>
      <c r="HI957" s="609"/>
      <c r="HJ957" s="609"/>
      <c r="HK957" s="609"/>
      <c r="HL957" s="609"/>
      <c r="HM957" s="609"/>
      <c r="HN957" s="609"/>
      <c r="HO957" s="609"/>
      <c r="HP957" s="609"/>
      <c r="HQ957" s="609"/>
      <c r="HR957" s="609"/>
      <c r="HS957" s="609"/>
      <c r="HT957" s="609"/>
      <c r="HU957" s="609"/>
      <c r="HV957" s="609"/>
      <c r="HW957" s="609"/>
      <c r="HX957" s="609"/>
      <c r="HY957" s="609"/>
      <c r="HZ957" s="609"/>
      <c r="IA957" s="609"/>
      <c r="IB957" s="609"/>
      <c r="IC957" s="609"/>
      <c r="ID957" s="609"/>
      <c r="IE957" s="609"/>
      <c r="IF957" s="609"/>
      <c r="IG957" s="609"/>
      <c r="IH957" s="609"/>
      <c r="II957" s="609"/>
      <c r="IJ957" s="609"/>
      <c r="IK957" s="609"/>
      <c r="IL957" s="609"/>
      <c r="IM957" s="609"/>
      <c r="IN957" s="609"/>
      <c r="IO957" s="609"/>
      <c r="IP957" s="609"/>
      <c r="IQ957" s="609"/>
      <c r="IR957" s="609"/>
      <c r="IS957" s="609"/>
      <c r="IT957" s="609"/>
      <c r="IU957" s="609"/>
      <c r="IV957" s="609"/>
    </row>
    <row r="958" spans="1:256" s="642" customFormat="1" ht="24" x14ac:dyDescent="0.25">
      <c r="A958" s="662"/>
      <c r="B958" s="662"/>
      <c r="C958" s="719" t="s">
        <v>1692</v>
      </c>
      <c r="D958" s="630" t="s">
        <v>1693</v>
      </c>
      <c r="E958" s="631" t="s">
        <v>248</v>
      </c>
      <c r="F958" s="632"/>
      <c r="G958" s="664"/>
      <c r="H958" s="632">
        <v>1</v>
      </c>
      <c r="I958" s="677">
        <f>SUM(I959:I961)</f>
        <v>41.84</v>
      </c>
      <c r="J958" s="677">
        <f>SUM(J959:J961)</f>
        <v>28.89</v>
      </c>
      <c r="K958" s="720">
        <f>I958+J958</f>
        <v>70.73</v>
      </c>
      <c r="L958" s="622">
        <f>H958*I958</f>
        <v>41.84</v>
      </c>
      <c r="M958" s="622">
        <f>H958*J958</f>
        <v>28.89</v>
      </c>
      <c r="N958" s="622">
        <f>L958+M958</f>
        <v>70.73</v>
      </c>
      <c r="O958" s="622">
        <f>N958*$P$4</f>
        <v>17.371288000000003</v>
      </c>
      <c r="P958" s="622">
        <f>N958+O958</f>
        <v>88.101288000000011</v>
      </c>
    </row>
    <row r="959" spans="1:256" s="642" customFormat="1" ht="24" x14ac:dyDescent="0.25">
      <c r="A959" s="634" t="s">
        <v>1225</v>
      </c>
      <c r="B959" s="634" t="s">
        <v>1694</v>
      </c>
      <c r="C959" s="634"/>
      <c r="D959" s="635" t="s">
        <v>1695</v>
      </c>
      <c r="E959" s="634" t="s">
        <v>248</v>
      </c>
      <c r="F959" s="635">
        <v>1</v>
      </c>
      <c r="G959" s="690">
        <v>41.84</v>
      </c>
      <c r="H959" s="635"/>
      <c r="I959" s="691">
        <f>ROUND(F959*G959,2)</f>
        <v>41.84</v>
      </c>
      <c r="J959" s="691"/>
      <c r="K959" s="691"/>
      <c r="L959" s="691"/>
      <c r="M959" s="691"/>
      <c r="N959" s="691"/>
      <c r="O959" s="691"/>
      <c r="P959" s="691"/>
    </row>
    <row r="960" spans="1:256" s="708" customFormat="1" x14ac:dyDescent="0.25">
      <c r="A960" s="634" t="s">
        <v>277</v>
      </c>
      <c r="B960" s="634">
        <v>2436</v>
      </c>
      <c r="C960" s="634"/>
      <c r="D960" s="635" t="s">
        <v>1069</v>
      </c>
      <c r="E960" s="634" t="s">
        <v>229</v>
      </c>
      <c r="F960" s="635">
        <v>1.3</v>
      </c>
      <c r="G960" s="681">
        <v>12.57</v>
      </c>
      <c r="H960" s="635"/>
      <c r="I960" s="691"/>
      <c r="J960" s="691">
        <f>ROUND(F960*G960,2)</f>
        <v>16.34</v>
      </c>
      <c r="K960" s="691"/>
      <c r="L960" s="691"/>
      <c r="M960" s="691"/>
      <c r="N960" s="691"/>
      <c r="O960" s="691"/>
      <c r="P960" s="691"/>
    </row>
    <row r="961" spans="1:256" s="642" customFormat="1" x14ac:dyDescent="0.25">
      <c r="A961" s="634" t="s">
        <v>277</v>
      </c>
      <c r="B961" s="634">
        <v>247</v>
      </c>
      <c r="C961" s="634"/>
      <c r="D961" s="635" t="s">
        <v>1070</v>
      </c>
      <c r="E961" s="634" t="s">
        <v>229</v>
      </c>
      <c r="F961" s="635">
        <v>1.3</v>
      </c>
      <c r="G961" s="681">
        <v>9.65</v>
      </c>
      <c r="H961" s="635"/>
      <c r="I961" s="691"/>
      <c r="J961" s="691">
        <f>ROUND(F961*G961,2)</f>
        <v>12.55</v>
      </c>
      <c r="K961" s="691"/>
      <c r="L961" s="691"/>
      <c r="M961" s="691"/>
      <c r="N961" s="691"/>
      <c r="O961" s="691"/>
      <c r="P961" s="691"/>
    </row>
    <row r="962" spans="1:256" s="642" customFormat="1" ht="24" x14ac:dyDescent="0.25">
      <c r="A962" s="662"/>
      <c r="B962" s="662"/>
      <c r="C962" s="719" t="s">
        <v>1696</v>
      </c>
      <c r="D962" s="630" t="s">
        <v>1697</v>
      </c>
      <c r="E962" s="631" t="s">
        <v>248</v>
      </c>
      <c r="F962" s="632"/>
      <c r="G962" s="664"/>
      <c r="H962" s="632">
        <v>1</v>
      </c>
      <c r="I962" s="677">
        <f>SUM(I963:I965)</f>
        <v>95.79</v>
      </c>
      <c r="J962" s="677">
        <f>SUM(J963:J965)</f>
        <v>30.22</v>
      </c>
      <c r="K962" s="720">
        <f>I962+J962</f>
        <v>126.01</v>
      </c>
      <c r="L962" s="622">
        <f>H962*I962</f>
        <v>95.79</v>
      </c>
      <c r="M962" s="622">
        <f>H962*J962</f>
        <v>30.22</v>
      </c>
      <c r="N962" s="622">
        <f>L962+M962</f>
        <v>126.01</v>
      </c>
      <c r="O962" s="622">
        <f>N962*$P$4</f>
        <v>30.948056000000001</v>
      </c>
      <c r="P962" s="622">
        <f>N962+O962</f>
        <v>156.958056</v>
      </c>
    </row>
    <row r="963" spans="1:256" s="642" customFormat="1" ht="24" x14ac:dyDescent="0.25">
      <c r="A963" s="634" t="s">
        <v>1225</v>
      </c>
      <c r="B963" s="634" t="s">
        <v>1698</v>
      </c>
      <c r="C963" s="634"/>
      <c r="D963" s="635" t="s">
        <v>1697</v>
      </c>
      <c r="E963" s="634" t="s">
        <v>248</v>
      </c>
      <c r="F963" s="635">
        <v>1</v>
      </c>
      <c r="G963" s="690">
        <v>95.79</v>
      </c>
      <c r="H963" s="635"/>
      <c r="I963" s="691">
        <f>ROUND(F963*G963,2)</f>
        <v>95.79</v>
      </c>
      <c r="J963" s="691"/>
      <c r="K963" s="691"/>
      <c r="L963" s="691"/>
      <c r="M963" s="691"/>
      <c r="N963" s="691"/>
      <c r="O963" s="691"/>
      <c r="P963" s="691"/>
    </row>
    <row r="964" spans="1:256" s="642" customFormat="1" x14ac:dyDescent="0.25">
      <c r="A964" s="634" t="s">
        <v>277</v>
      </c>
      <c r="B964" s="634">
        <v>2436</v>
      </c>
      <c r="C964" s="634"/>
      <c r="D964" s="635" t="s">
        <v>1069</v>
      </c>
      <c r="E964" s="634" t="s">
        <v>229</v>
      </c>
      <c r="F964" s="635">
        <v>1.36</v>
      </c>
      <c r="G964" s="681">
        <v>12.57</v>
      </c>
      <c r="H964" s="635"/>
      <c r="I964" s="691"/>
      <c r="J964" s="691">
        <f>ROUND(F964*G964,2)</f>
        <v>17.100000000000001</v>
      </c>
      <c r="K964" s="691"/>
      <c r="L964" s="691"/>
      <c r="M964" s="691"/>
      <c r="N964" s="691"/>
      <c r="O964" s="691"/>
      <c r="P964" s="691"/>
    </row>
    <row r="965" spans="1:256" s="642" customFormat="1" x14ac:dyDescent="0.25">
      <c r="A965" s="634" t="s">
        <v>277</v>
      </c>
      <c r="B965" s="634">
        <v>247</v>
      </c>
      <c r="C965" s="634"/>
      <c r="D965" s="635" t="s">
        <v>1070</v>
      </c>
      <c r="E965" s="634" t="s">
        <v>229</v>
      </c>
      <c r="F965" s="635">
        <v>1.36</v>
      </c>
      <c r="G965" s="681">
        <v>9.65</v>
      </c>
      <c r="H965" s="635"/>
      <c r="I965" s="691"/>
      <c r="J965" s="691">
        <f>ROUND(F965*G965,2)</f>
        <v>13.12</v>
      </c>
      <c r="K965" s="691"/>
      <c r="L965" s="691"/>
      <c r="M965" s="691"/>
      <c r="N965" s="691"/>
      <c r="O965" s="691"/>
      <c r="P965" s="691"/>
      <c r="Q965" s="721"/>
      <c r="R965" s="721"/>
      <c r="S965" s="721"/>
      <c r="T965" s="721"/>
      <c r="U965" s="721"/>
      <c r="V965" s="721"/>
      <c r="W965" s="721"/>
      <c r="X965" s="721"/>
      <c r="Y965" s="721"/>
      <c r="Z965" s="721"/>
      <c r="AA965" s="721"/>
      <c r="AB965" s="721"/>
      <c r="AC965" s="721"/>
      <c r="AD965" s="721"/>
      <c r="AE965" s="721"/>
      <c r="AF965" s="721"/>
      <c r="AG965" s="721"/>
      <c r="AH965" s="721"/>
      <c r="AI965" s="721"/>
      <c r="AJ965" s="721"/>
      <c r="AK965" s="721"/>
      <c r="AL965" s="721"/>
      <c r="AM965" s="721"/>
      <c r="AN965" s="721"/>
      <c r="AO965" s="721"/>
      <c r="AP965" s="721"/>
      <c r="AQ965" s="721"/>
      <c r="AR965" s="721"/>
      <c r="AS965" s="721"/>
      <c r="AT965" s="721"/>
      <c r="AU965" s="721"/>
      <c r="AV965" s="721"/>
      <c r="AW965" s="721"/>
      <c r="AX965" s="721"/>
      <c r="AY965" s="721"/>
      <c r="AZ965" s="721"/>
      <c r="BA965" s="721"/>
      <c r="BB965" s="721"/>
      <c r="BC965" s="721"/>
      <c r="BD965" s="721"/>
      <c r="BE965" s="721"/>
      <c r="BF965" s="721"/>
      <c r="BG965" s="721"/>
      <c r="BH965" s="721"/>
      <c r="BI965" s="721"/>
      <c r="BJ965" s="721"/>
      <c r="BK965" s="721"/>
      <c r="BL965" s="721"/>
      <c r="BM965" s="721"/>
      <c r="BN965" s="721"/>
      <c r="BO965" s="721"/>
      <c r="BP965" s="721"/>
      <c r="BQ965" s="721"/>
      <c r="BR965" s="721"/>
      <c r="BS965" s="721"/>
      <c r="BT965" s="721"/>
      <c r="BU965" s="721"/>
      <c r="BV965" s="721"/>
      <c r="BW965" s="721"/>
      <c r="BX965" s="721"/>
      <c r="BY965" s="721"/>
      <c r="BZ965" s="721"/>
      <c r="CA965" s="721"/>
      <c r="CB965" s="721"/>
      <c r="CC965" s="721"/>
      <c r="CD965" s="721"/>
      <c r="CE965" s="721"/>
      <c r="CF965" s="721"/>
      <c r="CG965" s="721"/>
      <c r="CH965" s="721"/>
      <c r="CI965" s="721"/>
      <c r="CJ965" s="721"/>
      <c r="CK965" s="721"/>
      <c r="CL965" s="721"/>
      <c r="CM965" s="721"/>
      <c r="CN965" s="721"/>
      <c r="CO965" s="721"/>
      <c r="CP965" s="721"/>
      <c r="CQ965" s="721"/>
      <c r="CR965" s="721"/>
      <c r="CS965" s="721"/>
      <c r="CT965" s="721"/>
      <c r="CU965" s="721"/>
      <c r="CV965" s="721"/>
      <c r="CW965" s="721"/>
      <c r="CX965" s="721"/>
      <c r="CY965" s="721"/>
      <c r="CZ965" s="721"/>
      <c r="DA965" s="721"/>
      <c r="DB965" s="721"/>
      <c r="DC965" s="721"/>
      <c r="DD965" s="721"/>
      <c r="DE965" s="721"/>
      <c r="DF965" s="721"/>
      <c r="DG965" s="721"/>
      <c r="DH965" s="721"/>
      <c r="DI965" s="721"/>
      <c r="DJ965" s="721"/>
      <c r="DK965" s="721"/>
      <c r="DL965" s="721"/>
      <c r="DM965" s="721"/>
      <c r="DN965" s="721"/>
      <c r="DO965" s="721"/>
      <c r="DP965" s="721"/>
      <c r="DQ965" s="721"/>
      <c r="DR965" s="721"/>
      <c r="DS965" s="721"/>
      <c r="DT965" s="721"/>
      <c r="DU965" s="721"/>
      <c r="DV965" s="721"/>
      <c r="DW965" s="721"/>
      <c r="DX965" s="721"/>
      <c r="DY965" s="721"/>
      <c r="DZ965" s="721"/>
      <c r="EA965" s="721"/>
      <c r="EB965" s="721"/>
      <c r="EC965" s="721"/>
      <c r="ED965" s="721"/>
      <c r="EE965" s="721"/>
      <c r="EF965" s="721"/>
      <c r="EG965" s="721"/>
      <c r="EH965" s="721"/>
      <c r="EI965" s="721"/>
      <c r="EJ965" s="721"/>
      <c r="EK965" s="721"/>
      <c r="EL965" s="721"/>
      <c r="EM965" s="721"/>
      <c r="EN965" s="721"/>
      <c r="EO965" s="721"/>
      <c r="EP965" s="721"/>
      <c r="EQ965" s="721"/>
      <c r="ER965" s="721"/>
      <c r="ES965" s="721"/>
      <c r="ET965" s="721"/>
      <c r="EU965" s="721"/>
      <c r="EV965" s="721"/>
      <c r="EW965" s="721"/>
      <c r="EX965" s="721"/>
      <c r="EY965" s="721"/>
      <c r="EZ965" s="721"/>
      <c r="FA965" s="721"/>
      <c r="FB965" s="721"/>
      <c r="FC965" s="721"/>
      <c r="FD965" s="721"/>
      <c r="FE965" s="721"/>
      <c r="FF965" s="721"/>
      <c r="FG965" s="721"/>
      <c r="FH965" s="721"/>
      <c r="FI965" s="721"/>
      <c r="FJ965" s="721"/>
      <c r="FK965" s="721"/>
      <c r="FL965" s="721"/>
      <c r="FM965" s="721"/>
      <c r="FN965" s="721"/>
      <c r="FO965" s="721"/>
      <c r="FP965" s="721"/>
      <c r="FQ965" s="721"/>
      <c r="FR965" s="721"/>
      <c r="FS965" s="721"/>
      <c r="FT965" s="721"/>
      <c r="FU965" s="721"/>
      <c r="FV965" s="721"/>
      <c r="FW965" s="721"/>
      <c r="FX965" s="721"/>
      <c r="FY965" s="721"/>
      <c r="FZ965" s="721"/>
      <c r="GA965" s="721"/>
      <c r="GB965" s="721"/>
      <c r="GC965" s="721"/>
      <c r="GD965" s="721"/>
      <c r="GE965" s="721"/>
      <c r="GF965" s="721"/>
      <c r="GG965" s="721"/>
      <c r="GH965" s="721"/>
      <c r="GI965" s="721"/>
      <c r="GJ965" s="721"/>
      <c r="GK965" s="721"/>
      <c r="GL965" s="721"/>
      <c r="GM965" s="721"/>
      <c r="GN965" s="721"/>
      <c r="GO965" s="721"/>
      <c r="GP965" s="721"/>
      <c r="GQ965" s="721"/>
      <c r="GR965" s="721"/>
      <c r="GS965" s="721"/>
      <c r="GT965" s="721"/>
      <c r="GU965" s="721"/>
      <c r="GV965" s="721"/>
      <c r="GW965" s="721"/>
      <c r="GX965" s="721"/>
      <c r="GY965" s="721"/>
      <c r="GZ965" s="721"/>
      <c r="HA965" s="721"/>
      <c r="HB965" s="721"/>
      <c r="HC965" s="721"/>
      <c r="HD965" s="721"/>
      <c r="HE965" s="721"/>
      <c r="HF965" s="721"/>
      <c r="HG965" s="721"/>
      <c r="HH965" s="721"/>
      <c r="HI965" s="721"/>
      <c r="HJ965" s="721"/>
      <c r="HK965" s="721"/>
      <c r="HL965" s="721"/>
      <c r="HM965" s="721"/>
      <c r="HN965" s="721"/>
      <c r="HO965" s="721"/>
      <c r="HP965" s="721"/>
      <c r="HQ965" s="721"/>
      <c r="HR965" s="721"/>
      <c r="HS965" s="721"/>
      <c r="HT965" s="721"/>
      <c r="HU965" s="721"/>
      <c r="HV965" s="721"/>
      <c r="HW965" s="721"/>
      <c r="HX965" s="721"/>
      <c r="HY965" s="721"/>
      <c r="HZ965" s="721"/>
      <c r="IA965" s="721"/>
      <c r="IB965" s="721"/>
      <c r="IC965" s="721"/>
      <c r="ID965" s="721"/>
      <c r="IE965" s="721"/>
      <c r="IF965" s="721"/>
      <c r="IG965" s="721"/>
      <c r="IH965" s="721"/>
      <c r="II965" s="721"/>
      <c r="IJ965" s="721"/>
      <c r="IK965" s="721"/>
      <c r="IL965" s="721"/>
      <c r="IM965" s="721"/>
      <c r="IN965" s="721"/>
      <c r="IO965" s="721"/>
      <c r="IP965" s="721"/>
      <c r="IQ965" s="721"/>
      <c r="IR965" s="721"/>
      <c r="IS965" s="721"/>
      <c r="IT965" s="721"/>
      <c r="IU965" s="721"/>
      <c r="IV965" s="721"/>
    </row>
    <row r="966" spans="1:256" s="721" customFormat="1" x14ac:dyDescent="0.25">
      <c r="A966" s="662"/>
      <c r="B966" s="662"/>
      <c r="C966" s="719" t="s">
        <v>1699</v>
      </c>
      <c r="D966" s="630" t="s">
        <v>1700</v>
      </c>
      <c r="E966" s="631" t="s">
        <v>251</v>
      </c>
      <c r="F966" s="632"/>
      <c r="G966" s="664"/>
      <c r="H966" s="632">
        <v>4</v>
      </c>
      <c r="I966" s="677">
        <f>SUM(I967:I969)</f>
        <v>17.7</v>
      </c>
      <c r="J966" s="677">
        <f>SUM(J967:J969)</f>
        <v>7.78</v>
      </c>
      <c r="K966" s="720">
        <f>I966+J966</f>
        <v>25.48</v>
      </c>
      <c r="L966" s="622">
        <f>H966*I966</f>
        <v>70.8</v>
      </c>
      <c r="M966" s="622">
        <f>H966*J966</f>
        <v>31.12</v>
      </c>
      <c r="N966" s="622">
        <f>L966+M966</f>
        <v>101.92</v>
      </c>
      <c r="O966" s="622">
        <f>N966*$P$4</f>
        <v>25.031552000000001</v>
      </c>
      <c r="P966" s="622">
        <f>N966+O966</f>
        <v>126.95155200000001</v>
      </c>
    </row>
    <row r="967" spans="1:256" s="642" customFormat="1" x14ac:dyDescent="0.25">
      <c r="A967" s="692" t="s">
        <v>1108</v>
      </c>
      <c r="B967" s="679"/>
      <c r="C967" s="634"/>
      <c r="D967" s="693" t="s">
        <v>1700</v>
      </c>
      <c r="E967" s="634"/>
      <c r="F967" s="635">
        <v>1</v>
      </c>
      <c r="G967" s="694">
        <v>17.7</v>
      </c>
      <c r="H967" s="635"/>
      <c r="I967" s="691">
        <f>ROUND(F967*G967,2)</f>
        <v>17.7</v>
      </c>
      <c r="J967" s="691"/>
      <c r="K967" s="691"/>
      <c r="L967" s="691"/>
      <c r="M967" s="691"/>
      <c r="N967" s="691"/>
      <c r="O967" s="691"/>
      <c r="P967" s="691"/>
    </row>
    <row r="968" spans="1:256" s="642" customFormat="1" x14ac:dyDescent="0.25">
      <c r="A968" s="634" t="s">
        <v>277</v>
      </c>
      <c r="B968" s="634">
        <v>2436</v>
      </c>
      <c r="C968" s="634"/>
      <c r="D968" s="635" t="s">
        <v>1069</v>
      </c>
      <c r="E968" s="634" t="s">
        <v>229</v>
      </c>
      <c r="F968" s="635">
        <v>0.35</v>
      </c>
      <c r="G968" s="681">
        <v>12.57</v>
      </c>
      <c r="H968" s="635"/>
      <c r="I968" s="691"/>
      <c r="J968" s="691">
        <f>ROUND(F968*G968,2)</f>
        <v>4.4000000000000004</v>
      </c>
      <c r="K968" s="691"/>
      <c r="L968" s="691"/>
      <c r="M968" s="691"/>
      <c r="N968" s="691"/>
      <c r="O968" s="691"/>
      <c r="P968" s="691"/>
      <c r="Q968" s="656"/>
      <c r="R968" s="656"/>
      <c r="S968" s="656"/>
      <c r="T968" s="656"/>
      <c r="U968" s="656"/>
      <c r="V968" s="656"/>
      <c r="W968" s="656"/>
      <c r="X968" s="656"/>
      <c r="Y968" s="656"/>
      <c r="Z968" s="656"/>
      <c r="AA968" s="656"/>
      <c r="AB968" s="656"/>
      <c r="AC968" s="656"/>
      <c r="AD968" s="656"/>
      <c r="AE968" s="656"/>
      <c r="AF968" s="656"/>
      <c r="AG968" s="656"/>
      <c r="AH968" s="656"/>
      <c r="AI968" s="656"/>
      <c r="AJ968" s="656"/>
      <c r="AK968" s="656"/>
      <c r="AL968" s="656"/>
      <c r="AM968" s="656"/>
      <c r="AN968" s="656"/>
      <c r="AO968" s="656"/>
      <c r="AP968" s="656"/>
      <c r="AQ968" s="656"/>
      <c r="AR968" s="656"/>
      <c r="AS968" s="656"/>
      <c r="AT968" s="656"/>
      <c r="AU968" s="656"/>
      <c r="AV968" s="656"/>
      <c r="AW968" s="656"/>
      <c r="AX968" s="656"/>
      <c r="AY968" s="656"/>
      <c r="AZ968" s="656"/>
      <c r="BA968" s="656"/>
      <c r="BB968" s="656"/>
      <c r="BC968" s="656"/>
      <c r="BD968" s="656"/>
      <c r="BE968" s="656"/>
      <c r="BF968" s="656"/>
      <c r="BG968" s="656"/>
      <c r="BH968" s="656"/>
      <c r="BI968" s="656"/>
      <c r="BJ968" s="656"/>
      <c r="BK968" s="656"/>
      <c r="BL968" s="656"/>
      <c r="BM968" s="656"/>
      <c r="BN968" s="656"/>
      <c r="BO968" s="656"/>
      <c r="BP968" s="656"/>
      <c r="BQ968" s="656"/>
      <c r="BR968" s="656"/>
      <c r="BS968" s="656"/>
      <c r="BT968" s="656"/>
      <c r="BU968" s="656"/>
      <c r="BV968" s="656"/>
      <c r="BW968" s="656"/>
      <c r="BX968" s="656"/>
      <c r="BY968" s="656"/>
      <c r="BZ968" s="656"/>
      <c r="CA968" s="656"/>
      <c r="CB968" s="656"/>
      <c r="CC968" s="656"/>
      <c r="CD968" s="656"/>
      <c r="CE968" s="656"/>
      <c r="CF968" s="656"/>
      <c r="CG968" s="656"/>
      <c r="CH968" s="656"/>
      <c r="CI968" s="656"/>
      <c r="CJ968" s="656"/>
      <c r="CK968" s="656"/>
      <c r="CL968" s="656"/>
      <c r="CM968" s="656"/>
      <c r="CN968" s="656"/>
      <c r="CO968" s="656"/>
      <c r="CP968" s="656"/>
      <c r="CQ968" s="656"/>
      <c r="CR968" s="656"/>
      <c r="CS968" s="656"/>
      <c r="CT968" s="656"/>
      <c r="CU968" s="656"/>
      <c r="CV968" s="656"/>
      <c r="CW968" s="656"/>
      <c r="CX968" s="656"/>
      <c r="CY968" s="656"/>
      <c r="CZ968" s="656"/>
      <c r="DA968" s="656"/>
      <c r="DB968" s="656"/>
      <c r="DC968" s="656"/>
      <c r="DD968" s="656"/>
      <c r="DE968" s="656"/>
      <c r="DF968" s="656"/>
      <c r="DG968" s="656"/>
      <c r="DH968" s="656"/>
      <c r="DI968" s="656"/>
      <c r="DJ968" s="656"/>
      <c r="DK968" s="656"/>
      <c r="DL968" s="656"/>
      <c r="DM968" s="656"/>
      <c r="DN968" s="656"/>
      <c r="DO968" s="656"/>
      <c r="DP968" s="656"/>
      <c r="DQ968" s="656"/>
      <c r="DR968" s="656"/>
      <c r="DS968" s="656"/>
      <c r="DT968" s="656"/>
      <c r="DU968" s="656"/>
      <c r="DV968" s="656"/>
      <c r="DW968" s="656"/>
      <c r="DX968" s="656"/>
      <c r="DY968" s="656"/>
      <c r="DZ968" s="656"/>
      <c r="EA968" s="656"/>
      <c r="EB968" s="656"/>
      <c r="EC968" s="656"/>
      <c r="ED968" s="656"/>
      <c r="EE968" s="656"/>
      <c r="EF968" s="656"/>
      <c r="EG968" s="656"/>
      <c r="EH968" s="656"/>
      <c r="EI968" s="656"/>
      <c r="EJ968" s="656"/>
      <c r="EK968" s="656"/>
      <c r="EL968" s="656"/>
      <c r="EM968" s="656"/>
      <c r="EN968" s="656"/>
      <c r="EO968" s="656"/>
      <c r="EP968" s="656"/>
      <c r="EQ968" s="656"/>
      <c r="ER968" s="656"/>
      <c r="ES968" s="656"/>
      <c r="ET968" s="656"/>
      <c r="EU968" s="656"/>
      <c r="EV968" s="656"/>
      <c r="EW968" s="656"/>
      <c r="EX968" s="656"/>
      <c r="EY968" s="656"/>
      <c r="EZ968" s="656"/>
      <c r="FA968" s="656"/>
      <c r="FB968" s="656"/>
      <c r="FC968" s="656"/>
      <c r="FD968" s="656"/>
      <c r="FE968" s="656"/>
      <c r="FF968" s="656"/>
      <c r="FG968" s="656"/>
      <c r="FH968" s="656"/>
      <c r="FI968" s="656"/>
      <c r="FJ968" s="656"/>
      <c r="FK968" s="656"/>
      <c r="FL968" s="656"/>
      <c r="FM968" s="656"/>
      <c r="FN968" s="656"/>
      <c r="FO968" s="656"/>
      <c r="FP968" s="656"/>
      <c r="FQ968" s="656"/>
      <c r="FR968" s="656"/>
      <c r="FS968" s="656"/>
      <c r="FT968" s="656"/>
      <c r="FU968" s="656"/>
      <c r="FV968" s="656"/>
      <c r="FW968" s="656"/>
      <c r="FX968" s="656"/>
      <c r="FY968" s="656"/>
      <c r="FZ968" s="656"/>
      <c r="GA968" s="656"/>
      <c r="GB968" s="656"/>
      <c r="GC968" s="656"/>
      <c r="GD968" s="656"/>
      <c r="GE968" s="656"/>
      <c r="GF968" s="656"/>
      <c r="GG968" s="656"/>
      <c r="GH968" s="656"/>
      <c r="GI968" s="656"/>
      <c r="GJ968" s="656"/>
      <c r="GK968" s="656"/>
      <c r="GL968" s="656"/>
      <c r="GM968" s="656"/>
      <c r="GN968" s="656"/>
      <c r="GO968" s="656"/>
      <c r="GP968" s="656"/>
      <c r="GQ968" s="656"/>
      <c r="GR968" s="656"/>
      <c r="GS968" s="656"/>
      <c r="GT968" s="656"/>
      <c r="GU968" s="656"/>
      <c r="GV968" s="656"/>
      <c r="GW968" s="656"/>
      <c r="GX968" s="656"/>
      <c r="GY968" s="656"/>
      <c r="GZ968" s="656"/>
      <c r="HA968" s="656"/>
      <c r="HB968" s="656"/>
      <c r="HC968" s="656"/>
      <c r="HD968" s="656"/>
      <c r="HE968" s="656"/>
      <c r="HF968" s="656"/>
      <c r="HG968" s="656"/>
      <c r="HH968" s="656"/>
      <c r="HI968" s="656"/>
      <c r="HJ968" s="656"/>
      <c r="HK968" s="656"/>
      <c r="HL968" s="656"/>
      <c r="HM968" s="656"/>
      <c r="HN968" s="656"/>
      <c r="HO968" s="656"/>
      <c r="HP968" s="656"/>
      <c r="HQ968" s="656"/>
      <c r="HR968" s="656"/>
      <c r="HS968" s="656"/>
      <c r="HT968" s="656"/>
      <c r="HU968" s="656"/>
      <c r="HV968" s="656"/>
      <c r="HW968" s="656"/>
      <c r="HX968" s="656"/>
      <c r="HY968" s="656"/>
      <c r="HZ968" s="656"/>
      <c r="IA968" s="656"/>
      <c r="IB968" s="656"/>
      <c r="IC968" s="656"/>
      <c r="ID968" s="656"/>
      <c r="IE968" s="656"/>
      <c r="IF968" s="656"/>
      <c r="IG968" s="656"/>
      <c r="IH968" s="656"/>
      <c r="II968" s="656"/>
      <c r="IJ968" s="656"/>
      <c r="IK968" s="656"/>
      <c r="IL968" s="656"/>
      <c r="IM968" s="656"/>
      <c r="IN968" s="656"/>
      <c r="IO968" s="656"/>
      <c r="IP968" s="656"/>
      <c r="IQ968" s="656"/>
      <c r="IR968" s="656"/>
      <c r="IS968" s="656"/>
      <c r="IT968" s="656"/>
      <c r="IU968" s="656"/>
      <c r="IV968" s="656"/>
    </row>
    <row r="969" spans="1:256" s="642" customFormat="1" x14ac:dyDescent="0.25">
      <c r="A969" s="634" t="s">
        <v>277</v>
      </c>
      <c r="B969" s="634">
        <v>247</v>
      </c>
      <c r="C969" s="634"/>
      <c r="D969" s="635" t="s">
        <v>1070</v>
      </c>
      <c r="E969" s="634" t="s">
        <v>229</v>
      </c>
      <c r="F969" s="635">
        <v>0.35</v>
      </c>
      <c r="G969" s="681">
        <v>9.65</v>
      </c>
      <c r="H969" s="635"/>
      <c r="I969" s="691"/>
      <c r="J969" s="691">
        <f>ROUND(F969*G969,2)</f>
        <v>3.38</v>
      </c>
      <c r="K969" s="691"/>
      <c r="L969" s="691"/>
      <c r="M969" s="691"/>
      <c r="N969" s="691"/>
      <c r="O969" s="691"/>
      <c r="P969" s="691"/>
    </row>
    <row r="970" spans="1:256" s="642" customFormat="1" x14ac:dyDescent="0.25">
      <c r="A970" s="634"/>
      <c r="B970" s="634"/>
      <c r="C970" s="634"/>
      <c r="D970" s="635"/>
      <c r="E970" s="634"/>
      <c r="F970" s="635"/>
      <c r="G970" s="681"/>
      <c r="H970" s="635"/>
      <c r="I970" s="691"/>
      <c r="J970" s="691"/>
      <c r="K970" s="691"/>
      <c r="L970" s="691"/>
      <c r="M970" s="691"/>
      <c r="N970" s="691"/>
      <c r="O970" s="691"/>
      <c r="P970" s="691"/>
    </row>
    <row r="971" spans="1:256" s="642" customFormat="1" x14ac:dyDescent="0.25">
      <c r="A971" s="637"/>
      <c r="B971" s="637"/>
      <c r="C971" s="637" t="s">
        <v>1701</v>
      </c>
      <c r="D971" s="639" t="s">
        <v>1702</v>
      </c>
      <c r="E971" s="637"/>
      <c r="F971" s="639"/>
      <c r="G971" s="640"/>
      <c r="H971" s="639"/>
      <c r="I971" s="639"/>
      <c r="J971" s="639"/>
      <c r="K971" s="639"/>
      <c r="L971" s="639"/>
      <c r="M971" s="639"/>
      <c r="N971" s="639"/>
      <c r="O971" s="639"/>
      <c r="P971" s="653">
        <f>SUM(P973:P993)</f>
        <v>20784.255983999996</v>
      </c>
    </row>
    <row r="972" spans="1:256" s="642" customFormat="1" x14ac:dyDescent="0.25">
      <c r="A972" s="634"/>
      <c r="B972" s="634"/>
      <c r="C972" s="634"/>
      <c r="D972" s="635"/>
      <c r="E972" s="634"/>
      <c r="F972" s="635"/>
      <c r="G972" s="722"/>
      <c r="H972" s="635"/>
      <c r="I972" s="635"/>
      <c r="J972" s="635"/>
      <c r="K972" s="635"/>
      <c r="L972" s="635"/>
      <c r="M972" s="635"/>
      <c r="N972" s="635"/>
      <c r="O972" s="635"/>
      <c r="P972" s="635"/>
    </row>
    <row r="973" spans="1:256" s="642" customFormat="1" x14ac:dyDescent="0.25">
      <c r="A973" s="662"/>
      <c r="B973" s="662"/>
      <c r="C973" s="663" t="s">
        <v>1703</v>
      </c>
      <c r="D973" s="630" t="s">
        <v>1704</v>
      </c>
      <c r="E973" s="631" t="s">
        <v>248</v>
      </c>
      <c r="F973" s="632"/>
      <c r="G973" s="664"/>
      <c r="H973" s="632">
        <v>4120</v>
      </c>
      <c r="I973" s="677">
        <f>SUM(I974:I976)</f>
        <v>2.23</v>
      </c>
      <c r="J973" s="677">
        <f>SUM(J974:J976)</f>
        <v>1.5499999999999998</v>
      </c>
      <c r="K973" s="720">
        <f>I973+J973</f>
        <v>3.78</v>
      </c>
      <c r="L973" s="622">
        <f>H973*I973</f>
        <v>9187.6</v>
      </c>
      <c r="M973" s="622">
        <f>H973*J973</f>
        <v>6385.9999999999991</v>
      </c>
      <c r="N973" s="622">
        <f>L973+M973</f>
        <v>15573.599999999999</v>
      </c>
      <c r="O973" s="622">
        <f>N973*$P$4</f>
        <v>3824.8761599999998</v>
      </c>
      <c r="P973" s="622">
        <f>N973+O973</f>
        <v>19398.476159999998</v>
      </c>
    </row>
    <row r="974" spans="1:256" s="642" customFormat="1" ht="60" x14ac:dyDescent="0.25">
      <c r="A974" s="634" t="s">
        <v>1705</v>
      </c>
      <c r="B974" s="679"/>
      <c r="C974" s="634"/>
      <c r="D974" s="693" t="s">
        <v>1706</v>
      </c>
      <c r="E974" s="634" t="s">
        <v>248</v>
      </c>
      <c r="F974" s="635">
        <v>1.02</v>
      </c>
      <c r="G974" s="681">
        <v>2.19</v>
      </c>
      <c r="H974" s="635"/>
      <c r="I974" s="723">
        <f>ROUND(G974*F974,2)</f>
        <v>2.23</v>
      </c>
      <c r="J974" s="635"/>
      <c r="K974" s="635"/>
      <c r="L974" s="635" t="s">
        <v>1207</v>
      </c>
      <c r="M974" s="635"/>
      <c r="N974" s="635"/>
      <c r="O974" s="635"/>
      <c r="P974" s="635"/>
    </row>
    <row r="975" spans="1:256" s="642" customFormat="1" x14ac:dyDescent="0.25">
      <c r="A975" s="634" t="s">
        <v>277</v>
      </c>
      <c r="B975" s="634">
        <v>2439</v>
      </c>
      <c r="C975" s="634"/>
      <c r="D975" s="635" t="s">
        <v>1707</v>
      </c>
      <c r="E975" s="634" t="s">
        <v>229</v>
      </c>
      <c r="F975" s="635">
        <v>0.06</v>
      </c>
      <c r="G975" s="681">
        <v>16.2</v>
      </c>
      <c r="H975" s="635"/>
      <c r="I975" s="635"/>
      <c r="J975" s="723">
        <f>ROUND(F975*G975,2)</f>
        <v>0.97</v>
      </c>
      <c r="K975" s="635"/>
      <c r="L975" s="635"/>
      <c r="M975" s="635"/>
      <c r="N975" s="635"/>
      <c r="O975" s="635"/>
      <c r="P975" s="635"/>
    </row>
    <row r="976" spans="1:256" s="642" customFormat="1" x14ac:dyDescent="0.25">
      <c r="A976" s="634" t="s">
        <v>277</v>
      </c>
      <c r="B976" s="634">
        <v>247</v>
      </c>
      <c r="C976" s="634"/>
      <c r="D976" s="635" t="s">
        <v>1070</v>
      </c>
      <c r="E976" s="634" t="s">
        <v>229</v>
      </c>
      <c r="F976" s="635">
        <v>0.06</v>
      </c>
      <c r="G976" s="681">
        <v>9.65</v>
      </c>
      <c r="H976" s="635"/>
      <c r="I976" s="635"/>
      <c r="J976" s="723">
        <f>ROUND(F976*G976,2)</f>
        <v>0.57999999999999996</v>
      </c>
      <c r="K976" s="635"/>
      <c r="L976" s="635"/>
      <c r="M976" s="635"/>
      <c r="N976" s="635"/>
      <c r="O976" s="635"/>
      <c r="P976" s="635"/>
    </row>
    <row r="977" spans="1:256" s="642" customFormat="1" x14ac:dyDescent="0.25">
      <c r="A977" s="675"/>
      <c r="B977" s="675"/>
      <c r="C977" s="675" t="s">
        <v>1708</v>
      </c>
      <c r="D977" s="620" t="s">
        <v>1709</v>
      </c>
      <c r="E977" s="675" t="s">
        <v>248</v>
      </c>
      <c r="F977" s="620"/>
      <c r="G977" s="622"/>
      <c r="H977" s="620">
        <v>40</v>
      </c>
      <c r="I977" s="665">
        <f>ROUND(I978,2)</f>
        <v>5</v>
      </c>
      <c r="J977" s="665">
        <f>ROUND(J979+J980,2)</f>
        <v>1.55</v>
      </c>
      <c r="K977" s="665">
        <f>I977+J977</f>
        <v>6.55</v>
      </c>
      <c r="L977" s="622">
        <f>H977*I977</f>
        <v>200</v>
      </c>
      <c r="M977" s="622">
        <f>H977*J977</f>
        <v>62</v>
      </c>
      <c r="N977" s="622">
        <f>L977+M977</f>
        <v>262</v>
      </c>
      <c r="O977" s="622">
        <f>N977*$P$4</f>
        <v>64.347200000000001</v>
      </c>
      <c r="P977" s="622">
        <f>N977+O977</f>
        <v>326.34719999999999</v>
      </c>
      <c r="Q977" s="652"/>
      <c r="R977" s="652"/>
      <c r="S977" s="652"/>
      <c r="T977" s="652"/>
      <c r="U977" s="652"/>
      <c r="V977" s="652"/>
      <c r="W977" s="652"/>
      <c r="X977" s="652"/>
      <c r="Y977" s="652"/>
      <c r="Z977" s="652"/>
      <c r="AA977" s="652"/>
      <c r="AB977" s="652"/>
      <c r="AC977" s="652"/>
      <c r="AD977" s="652"/>
      <c r="AE977" s="652"/>
      <c r="AF977" s="652"/>
      <c r="AG977" s="652"/>
      <c r="AH977" s="652"/>
      <c r="AI977" s="652"/>
      <c r="AJ977" s="652"/>
      <c r="AK977" s="652"/>
      <c r="AL977" s="652"/>
      <c r="AM977" s="652"/>
      <c r="AN977" s="652"/>
      <c r="AO977" s="652"/>
      <c r="AP977" s="652"/>
      <c r="AQ977" s="652"/>
      <c r="AR977" s="652"/>
      <c r="AS977" s="652"/>
      <c r="AT977" s="652"/>
      <c r="AU977" s="652"/>
      <c r="AV977" s="652"/>
      <c r="AW977" s="652"/>
      <c r="AX977" s="652"/>
      <c r="AY977" s="652"/>
      <c r="AZ977" s="652"/>
      <c r="BA977" s="652"/>
      <c r="BB977" s="652"/>
      <c r="BC977" s="652"/>
      <c r="BD977" s="652"/>
      <c r="BE977" s="652"/>
      <c r="BF977" s="652"/>
      <c r="BG977" s="652"/>
      <c r="BH977" s="652"/>
      <c r="BI977" s="652"/>
      <c r="BJ977" s="652"/>
      <c r="BK977" s="652"/>
      <c r="BL977" s="652"/>
      <c r="BM977" s="652"/>
      <c r="BN977" s="652"/>
      <c r="BO977" s="652"/>
      <c r="BP977" s="652"/>
      <c r="BQ977" s="652"/>
      <c r="BR977" s="652"/>
      <c r="BS977" s="652"/>
      <c r="BT977" s="652"/>
      <c r="BU977" s="652"/>
      <c r="BV977" s="652"/>
      <c r="BW977" s="652"/>
      <c r="BX977" s="652"/>
      <c r="BY977" s="652"/>
      <c r="BZ977" s="652"/>
      <c r="CA977" s="652"/>
      <c r="CB977" s="652"/>
      <c r="CC977" s="652"/>
      <c r="CD977" s="652"/>
      <c r="CE977" s="652"/>
      <c r="CF977" s="652"/>
      <c r="CG977" s="652"/>
      <c r="CH977" s="652"/>
      <c r="CI977" s="652"/>
      <c r="CJ977" s="652"/>
      <c r="CK977" s="652"/>
      <c r="CL977" s="652"/>
      <c r="CM977" s="652"/>
      <c r="CN977" s="652"/>
      <c r="CO977" s="652"/>
      <c r="CP977" s="652"/>
      <c r="CQ977" s="652"/>
      <c r="CR977" s="652"/>
      <c r="CS977" s="652"/>
      <c r="CT977" s="652"/>
      <c r="CU977" s="652"/>
      <c r="CV977" s="652"/>
      <c r="CW977" s="652"/>
      <c r="CX977" s="652"/>
      <c r="CY977" s="652"/>
      <c r="CZ977" s="652"/>
      <c r="DA977" s="652"/>
      <c r="DB977" s="652"/>
      <c r="DC977" s="652"/>
      <c r="DD977" s="652"/>
      <c r="DE977" s="652"/>
      <c r="DF977" s="652"/>
      <c r="DG977" s="652"/>
      <c r="DH977" s="652"/>
      <c r="DI977" s="652"/>
      <c r="DJ977" s="652"/>
      <c r="DK977" s="652"/>
      <c r="DL977" s="652"/>
      <c r="DM977" s="652"/>
      <c r="DN977" s="652"/>
      <c r="DO977" s="652"/>
      <c r="DP977" s="652"/>
      <c r="DQ977" s="652"/>
      <c r="DR977" s="652"/>
      <c r="DS977" s="652"/>
      <c r="DT977" s="652"/>
      <c r="DU977" s="652"/>
      <c r="DV977" s="652"/>
      <c r="DW977" s="652"/>
      <c r="DX977" s="652"/>
      <c r="DY977" s="652"/>
      <c r="DZ977" s="652"/>
      <c r="EA977" s="652"/>
      <c r="EB977" s="652"/>
      <c r="EC977" s="652"/>
      <c r="ED977" s="652"/>
      <c r="EE977" s="652"/>
      <c r="EF977" s="652"/>
      <c r="EG977" s="652"/>
      <c r="EH977" s="652"/>
      <c r="EI977" s="652"/>
      <c r="EJ977" s="652"/>
      <c r="EK977" s="652"/>
      <c r="EL977" s="652"/>
      <c r="EM977" s="652"/>
      <c r="EN977" s="652"/>
      <c r="EO977" s="652"/>
      <c r="EP977" s="652"/>
      <c r="EQ977" s="652"/>
      <c r="ER977" s="652"/>
      <c r="ES977" s="652"/>
      <c r="ET977" s="652"/>
      <c r="EU977" s="652"/>
      <c r="EV977" s="652"/>
      <c r="EW977" s="652"/>
      <c r="EX977" s="652"/>
      <c r="EY977" s="652"/>
      <c r="EZ977" s="652"/>
      <c r="FA977" s="652"/>
      <c r="FB977" s="652"/>
      <c r="FC977" s="652"/>
      <c r="FD977" s="652"/>
      <c r="FE977" s="652"/>
      <c r="FF977" s="652"/>
      <c r="FG977" s="652"/>
      <c r="FH977" s="652"/>
      <c r="FI977" s="652"/>
      <c r="FJ977" s="652"/>
      <c r="FK977" s="652"/>
      <c r="FL977" s="652"/>
      <c r="FM977" s="652"/>
      <c r="FN977" s="652"/>
      <c r="FO977" s="652"/>
      <c r="FP977" s="652"/>
      <c r="FQ977" s="652"/>
      <c r="FR977" s="652"/>
      <c r="FS977" s="652"/>
      <c r="FT977" s="652"/>
      <c r="FU977" s="652"/>
      <c r="FV977" s="652"/>
      <c r="FW977" s="652"/>
      <c r="FX977" s="652"/>
      <c r="FY977" s="652"/>
      <c r="FZ977" s="652"/>
      <c r="GA977" s="652"/>
      <c r="GB977" s="652"/>
      <c r="GC977" s="652"/>
      <c r="GD977" s="652"/>
      <c r="GE977" s="652"/>
      <c r="GF977" s="652"/>
      <c r="GG977" s="652"/>
      <c r="GH977" s="652"/>
      <c r="GI977" s="652"/>
      <c r="GJ977" s="652"/>
      <c r="GK977" s="652"/>
      <c r="GL977" s="652"/>
      <c r="GM977" s="652"/>
      <c r="GN977" s="652"/>
      <c r="GO977" s="652"/>
      <c r="GP977" s="652"/>
      <c r="GQ977" s="652"/>
      <c r="GR977" s="652"/>
      <c r="GS977" s="652"/>
      <c r="GT977" s="652"/>
      <c r="GU977" s="652"/>
      <c r="GV977" s="652"/>
      <c r="GW977" s="652"/>
      <c r="GX977" s="652"/>
      <c r="GY977" s="652"/>
      <c r="GZ977" s="652"/>
      <c r="HA977" s="652"/>
      <c r="HB977" s="652"/>
      <c r="HC977" s="652"/>
      <c r="HD977" s="652"/>
      <c r="HE977" s="652"/>
      <c r="HF977" s="652"/>
      <c r="HG977" s="652"/>
      <c r="HH977" s="652"/>
      <c r="HI977" s="652"/>
      <c r="HJ977" s="652"/>
      <c r="HK977" s="652"/>
      <c r="HL977" s="652"/>
      <c r="HM977" s="652"/>
      <c r="HN977" s="652"/>
      <c r="HO977" s="652"/>
      <c r="HP977" s="652"/>
      <c r="HQ977" s="652"/>
      <c r="HR977" s="652"/>
      <c r="HS977" s="652"/>
      <c r="HT977" s="652"/>
      <c r="HU977" s="652"/>
      <c r="HV977" s="652"/>
      <c r="HW977" s="652"/>
      <c r="HX977" s="652"/>
      <c r="HY977" s="652"/>
      <c r="HZ977" s="652"/>
      <c r="IA977" s="652"/>
      <c r="IB977" s="652"/>
      <c r="IC977" s="652"/>
      <c r="ID977" s="652"/>
      <c r="IE977" s="652"/>
      <c r="IF977" s="652"/>
      <c r="IG977" s="652"/>
      <c r="IH977" s="652"/>
      <c r="II977" s="652"/>
      <c r="IJ977" s="652"/>
      <c r="IK977" s="652"/>
      <c r="IL977" s="652"/>
      <c r="IM977" s="652"/>
      <c r="IN977" s="652"/>
      <c r="IO977" s="652"/>
      <c r="IP977" s="652"/>
      <c r="IQ977" s="652"/>
      <c r="IR977" s="652"/>
      <c r="IS977" s="652"/>
      <c r="IT977" s="652"/>
      <c r="IU977" s="652"/>
      <c r="IV977" s="652"/>
    </row>
    <row r="978" spans="1:256" s="642" customFormat="1" x14ac:dyDescent="0.25">
      <c r="A978" s="634" t="s">
        <v>1705</v>
      </c>
      <c r="B978" s="724"/>
      <c r="C978" s="725"/>
      <c r="D978" s="726" t="s">
        <v>1710</v>
      </c>
      <c r="E978" s="725" t="s">
        <v>248</v>
      </c>
      <c r="F978" s="625">
        <v>1.02</v>
      </c>
      <c r="G978" s="681">
        <v>4.9000000000000004</v>
      </c>
      <c r="H978" s="727"/>
      <c r="I978" s="728">
        <f>ROUND(F978*G978,2)</f>
        <v>5</v>
      </c>
      <c r="J978" s="728"/>
      <c r="K978" s="728"/>
      <c r="L978" s="674"/>
      <c r="M978" s="674"/>
      <c r="N978" s="674"/>
      <c r="O978" s="674"/>
      <c r="P978" s="674"/>
      <c r="Q978" s="652"/>
      <c r="R978" s="652"/>
      <c r="S978" s="652"/>
      <c r="T978" s="652"/>
      <c r="U978" s="652"/>
      <c r="V978" s="652"/>
      <c r="W978" s="652"/>
      <c r="X978" s="652"/>
      <c r="Y978" s="652"/>
      <c r="Z978" s="652"/>
      <c r="AA978" s="652"/>
      <c r="AB978" s="652"/>
      <c r="AC978" s="652"/>
      <c r="AD978" s="652"/>
      <c r="AE978" s="652"/>
      <c r="AF978" s="652"/>
      <c r="AG978" s="652"/>
      <c r="AH978" s="652"/>
      <c r="AI978" s="652"/>
      <c r="AJ978" s="652"/>
      <c r="AK978" s="652"/>
      <c r="AL978" s="652"/>
      <c r="AM978" s="652"/>
      <c r="AN978" s="652"/>
      <c r="AO978" s="652"/>
      <c r="AP978" s="652"/>
      <c r="AQ978" s="652"/>
      <c r="AR978" s="652"/>
      <c r="AS978" s="652"/>
      <c r="AT978" s="652"/>
      <c r="AU978" s="652"/>
      <c r="AV978" s="652"/>
      <c r="AW978" s="652"/>
      <c r="AX978" s="652"/>
      <c r="AY978" s="652"/>
      <c r="AZ978" s="652"/>
      <c r="BA978" s="652"/>
      <c r="BB978" s="652"/>
      <c r="BC978" s="652"/>
      <c r="BD978" s="652"/>
      <c r="BE978" s="652"/>
      <c r="BF978" s="652"/>
      <c r="BG978" s="652"/>
      <c r="BH978" s="652"/>
      <c r="BI978" s="652"/>
      <c r="BJ978" s="652"/>
      <c r="BK978" s="652"/>
      <c r="BL978" s="652"/>
      <c r="BM978" s="652"/>
      <c r="BN978" s="652"/>
      <c r="BO978" s="652"/>
      <c r="BP978" s="652"/>
      <c r="BQ978" s="652"/>
      <c r="BR978" s="652"/>
      <c r="BS978" s="652"/>
      <c r="BT978" s="652"/>
      <c r="BU978" s="652"/>
      <c r="BV978" s="652"/>
      <c r="BW978" s="652"/>
      <c r="BX978" s="652"/>
      <c r="BY978" s="652"/>
      <c r="BZ978" s="652"/>
      <c r="CA978" s="652"/>
      <c r="CB978" s="652"/>
      <c r="CC978" s="652"/>
      <c r="CD978" s="652"/>
      <c r="CE978" s="652"/>
      <c r="CF978" s="652"/>
      <c r="CG978" s="652"/>
      <c r="CH978" s="652"/>
      <c r="CI978" s="652"/>
      <c r="CJ978" s="652"/>
      <c r="CK978" s="652"/>
      <c r="CL978" s="652"/>
      <c r="CM978" s="652"/>
      <c r="CN978" s="652"/>
      <c r="CO978" s="652"/>
      <c r="CP978" s="652"/>
      <c r="CQ978" s="652"/>
      <c r="CR978" s="652"/>
      <c r="CS978" s="652"/>
      <c r="CT978" s="652"/>
      <c r="CU978" s="652"/>
      <c r="CV978" s="652"/>
      <c r="CW978" s="652"/>
      <c r="CX978" s="652"/>
      <c r="CY978" s="652"/>
      <c r="CZ978" s="652"/>
      <c r="DA978" s="652"/>
      <c r="DB978" s="652"/>
      <c r="DC978" s="652"/>
      <c r="DD978" s="652"/>
      <c r="DE978" s="652"/>
      <c r="DF978" s="652"/>
      <c r="DG978" s="652"/>
      <c r="DH978" s="652"/>
      <c r="DI978" s="652"/>
      <c r="DJ978" s="652"/>
      <c r="DK978" s="652"/>
      <c r="DL978" s="652"/>
      <c r="DM978" s="652"/>
      <c r="DN978" s="652"/>
      <c r="DO978" s="652"/>
      <c r="DP978" s="652"/>
      <c r="DQ978" s="652"/>
      <c r="DR978" s="652"/>
      <c r="DS978" s="652"/>
      <c r="DT978" s="652"/>
      <c r="DU978" s="652"/>
      <c r="DV978" s="652"/>
      <c r="DW978" s="652"/>
      <c r="DX978" s="652"/>
      <c r="DY978" s="652"/>
      <c r="DZ978" s="652"/>
      <c r="EA978" s="652"/>
      <c r="EB978" s="652"/>
      <c r="EC978" s="652"/>
      <c r="ED978" s="652"/>
      <c r="EE978" s="652"/>
      <c r="EF978" s="652"/>
      <c r="EG978" s="652"/>
      <c r="EH978" s="652"/>
      <c r="EI978" s="652"/>
      <c r="EJ978" s="652"/>
      <c r="EK978" s="652"/>
      <c r="EL978" s="652"/>
      <c r="EM978" s="652"/>
      <c r="EN978" s="652"/>
      <c r="EO978" s="652"/>
      <c r="EP978" s="652"/>
      <c r="EQ978" s="652"/>
      <c r="ER978" s="652"/>
      <c r="ES978" s="652"/>
      <c r="ET978" s="652"/>
      <c r="EU978" s="652"/>
      <c r="EV978" s="652"/>
      <c r="EW978" s="652"/>
      <c r="EX978" s="652"/>
      <c r="EY978" s="652"/>
      <c r="EZ978" s="652"/>
      <c r="FA978" s="652"/>
      <c r="FB978" s="652"/>
      <c r="FC978" s="652"/>
      <c r="FD978" s="652"/>
      <c r="FE978" s="652"/>
      <c r="FF978" s="652"/>
      <c r="FG978" s="652"/>
      <c r="FH978" s="652"/>
      <c r="FI978" s="652"/>
      <c r="FJ978" s="652"/>
      <c r="FK978" s="652"/>
      <c r="FL978" s="652"/>
      <c r="FM978" s="652"/>
      <c r="FN978" s="652"/>
      <c r="FO978" s="652"/>
      <c r="FP978" s="652"/>
      <c r="FQ978" s="652"/>
      <c r="FR978" s="652"/>
      <c r="FS978" s="652"/>
      <c r="FT978" s="652"/>
      <c r="FU978" s="652"/>
      <c r="FV978" s="652"/>
      <c r="FW978" s="652"/>
      <c r="FX978" s="652"/>
      <c r="FY978" s="652"/>
      <c r="FZ978" s="652"/>
      <c r="GA978" s="652"/>
      <c r="GB978" s="652"/>
      <c r="GC978" s="652"/>
      <c r="GD978" s="652"/>
      <c r="GE978" s="652"/>
      <c r="GF978" s="652"/>
      <c r="GG978" s="652"/>
      <c r="GH978" s="652"/>
      <c r="GI978" s="652"/>
      <c r="GJ978" s="652"/>
      <c r="GK978" s="652"/>
      <c r="GL978" s="652"/>
      <c r="GM978" s="652"/>
      <c r="GN978" s="652"/>
      <c r="GO978" s="652"/>
      <c r="GP978" s="652"/>
      <c r="GQ978" s="652"/>
      <c r="GR978" s="652"/>
      <c r="GS978" s="652"/>
      <c r="GT978" s="652"/>
      <c r="GU978" s="652"/>
      <c r="GV978" s="652"/>
      <c r="GW978" s="652"/>
      <c r="GX978" s="652"/>
      <c r="GY978" s="652"/>
      <c r="GZ978" s="652"/>
      <c r="HA978" s="652"/>
      <c r="HB978" s="652"/>
      <c r="HC978" s="652"/>
      <c r="HD978" s="652"/>
      <c r="HE978" s="652"/>
      <c r="HF978" s="652"/>
      <c r="HG978" s="652"/>
      <c r="HH978" s="652"/>
      <c r="HI978" s="652"/>
      <c r="HJ978" s="652"/>
      <c r="HK978" s="652"/>
      <c r="HL978" s="652"/>
      <c r="HM978" s="652"/>
      <c r="HN978" s="652"/>
      <c r="HO978" s="652"/>
      <c r="HP978" s="652"/>
      <c r="HQ978" s="652"/>
      <c r="HR978" s="652"/>
      <c r="HS978" s="652"/>
      <c r="HT978" s="652"/>
      <c r="HU978" s="652"/>
      <c r="HV978" s="652"/>
      <c r="HW978" s="652"/>
      <c r="HX978" s="652"/>
      <c r="HY978" s="652"/>
      <c r="HZ978" s="652"/>
      <c r="IA978" s="652"/>
      <c r="IB978" s="652"/>
      <c r="IC978" s="652"/>
      <c r="ID978" s="652"/>
      <c r="IE978" s="652"/>
      <c r="IF978" s="652"/>
      <c r="IG978" s="652"/>
      <c r="IH978" s="652"/>
      <c r="II978" s="652"/>
      <c r="IJ978" s="652"/>
      <c r="IK978" s="652"/>
      <c r="IL978" s="652"/>
      <c r="IM978" s="652"/>
      <c r="IN978" s="652"/>
      <c r="IO978" s="652"/>
      <c r="IP978" s="652"/>
      <c r="IQ978" s="652"/>
      <c r="IR978" s="652"/>
      <c r="IS978" s="652"/>
      <c r="IT978" s="652"/>
      <c r="IU978" s="652"/>
      <c r="IV978" s="652"/>
    </row>
    <row r="979" spans="1:256" s="642" customFormat="1" x14ac:dyDescent="0.25">
      <c r="A979" s="634" t="s">
        <v>277</v>
      </c>
      <c r="B979" s="634">
        <v>2439</v>
      </c>
      <c r="C979" s="634"/>
      <c r="D979" s="635" t="s">
        <v>1707</v>
      </c>
      <c r="E979" s="634" t="s">
        <v>229</v>
      </c>
      <c r="F979" s="635">
        <v>0.06</v>
      </c>
      <c r="G979" s="681">
        <v>16.2</v>
      </c>
      <c r="H979" s="625"/>
      <c r="I979" s="728"/>
      <c r="J979" s="728">
        <f>ROUND(F979*G979,2)</f>
        <v>0.97</v>
      </c>
      <c r="K979" s="728"/>
      <c r="L979" s="674"/>
      <c r="M979" s="674"/>
      <c r="N979" s="674"/>
      <c r="O979" s="674"/>
      <c r="P979" s="674"/>
      <c r="Q979" s="652"/>
      <c r="R979" s="652"/>
      <c r="S979" s="652"/>
      <c r="T979" s="652"/>
      <c r="U979" s="652"/>
      <c r="V979" s="652"/>
      <c r="W979" s="652"/>
      <c r="X979" s="652"/>
      <c r="Y979" s="652"/>
      <c r="Z979" s="652"/>
      <c r="AA979" s="652"/>
      <c r="AB979" s="652"/>
      <c r="AC979" s="652"/>
      <c r="AD979" s="652"/>
      <c r="AE979" s="652"/>
      <c r="AF979" s="652"/>
      <c r="AG979" s="652"/>
      <c r="AH979" s="652"/>
      <c r="AI979" s="652"/>
      <c r="AJ979" s="652"/>
      <c r="AK979" s="652"/>
      <c r="AL979" s="652"/>
      <c r="AM979" s="652"/>
      <c r="AN979" s="652"/>
      <c r="AO979" s="652"/>
      <c r="AP979" s="652"/>
      <c r="AQ979" s="652"/>
      <c r="AR979" s="652"/>
      <c r="AS979" s="652"/>
      <c r="AT979" s="652"/>
      <c r="AU979" s="652"/>
      <c r="AV979" s="652"/>
      <c r="AW979" s="652"/>
      <c r="AX979" s="652"/>
      <c r="AY979" s="652"/>
      <c r="AZ979" s="652"/>
      <c r="BA979" s="652"/>
      <c r="BB979" s="652"/>
      <c r="BC979" s="652"/>
      <c r="BD979" s="652"/>
      <c r="BE979" s="652"/>
      <c r="BF979" s="652"/>
      <c r="BG979" s="652"/>
      <c r="BH979" s="652"/>
      <c r="BI979" s="652"/>
      <c r="BJ979" s="652"/>
      <c r="BK979" s="652"/>
      <c r="BL979" s="652"/>
      <c r="BM979" s="652"/>
      <c r="BN979" s="652"/>
      <c r="BO979" s="652"/>
      <c r="BP979" s="652"/>
      <c r="BQ979" s="652"/>
      <c r="BR979" s="652"/>
      <c r="BS979" s="652"/>
      <c r="BT979" s="652"/>
      <c r="BU979" s="652"/>
      <c r="BV979" s="652"/>
      <c r="BW979" s="652"/>
      <c r="BX979" s="652"/>
      <c r="BY979" s="652"/>
      <c r="BZ979" s="652"/>
      <c r="CA979" s="652"/>
      <c r="CB979" s="652"/>
      <c r="CC979" s="652"/>
      <c r="CD979" s="652"/>
      <c r="CE979" s="652"/>
      <c r="CF979" s="652"/>
      <c r="CG979" s="652"/>
      <c r="CH979" s="652"/>
      <c r="CI979" s="652"/>
      <c r="CJ979" s="652"/>
      <c r="CK979" s="652"/>
      <c r="CL979" s="652"/>
      <c r="CM979" s="652"/>
      <c r="CN979" s="652"/>
      <c r="CO979" s="652"/>
      <c r="CP979" s="652"/>
      <c r="CQ979" s="652"/>
      <c r="CR979" s="652"/>
      <c r="CS979" s="652"/>
      <c r="CT979" s="652"/>
      <c r="CU979" s="652"/>
      <c r="CV979" s="652"/>
      <c r="CW979" s="652"/>
      <c r="CX979" s="652"/>
      <c r="CY979" s="652"/>
      <c r="CZ979" s="652"/>
      <c r="DA979" s="652"/>
      <c r="DB979" s="652"/>
      <c r="DC979" s="652"/>
      <c r="DD979" s="652"/>
      <c r="DE979" s="652"/>
      <c r="DF979" s="652"/>
      <c r="DG979" s="652"/>
      <c r="DH979" s="652"/>
      <c r="DI979" s="652"/>
      <c r="DJ979" s="652"/>
      <c r="DK979" s="652"/>
      <c r="DL979" s="652"/>
      <c r="DM979" s="652"/>
      <c r="DN979" s="652"/>
      <c r="DO979" s="652"/>
      <c r="DP979" s="652"/>
      <c r="DQ979" s="652"/>
      <c r="DR979" s="652"/>
      <c r="DS979" s="652"/>
      <c r="DT979" s="652"/>
      <c r="DU979" s="652"/>
      <c r="DV979" s="652"/>
      <c r="DW979" s="652"/>
      <c r="DX979" s="652"/>
      <c r="DY979" s="652"/>
      <c r="DZ979" s="652"/>
      <c r="EA979" s="652"/>
      <c r="EB979" s="652"/>
      <c r="EC979" s="652"/>
      <c r="ED979" s="652"/>
      <c r="EE979" s="652"/>
      <c r="EF979" s="652"/>
      <c r="EG979" s="652"/>
      <c r="EH979" s="652"/>
      <c r="EI979" s="652"/>
      <c r="EJ979" s="652"/>
      <c r="EK979" s="652"/>
      <c r="EL979" s="652"/>
      <c r="EM979" s="652"/>
      <c r="EN979" s="652"/>
      <c r="EO979" s="652"/>
      <c r="EP979" s="652"/>
      <c r="EQ979" s="652"/>
      <c r="ER979" s="652"/>
      <c r="ES979" s="652"/>
      <c r="ET979" s="652"/>
      <c r="EU979" s="652"/>
      <c r="EV979" s="652"/>
      <c r="EW979" s="652"/>
      <c r="EX979" s="652"/>
      <c r="EY979" s="652"/>
      <c r="EZ979" s="652"/>
      <c r="FA979" s="652"/>
      <c r="FB979" s="652"/>
      <c r="FC979" s="652"/>
      <c r="FD979" s="652"/>
      <c r="FE979" s="652"/>
      <c r="FF979" s="652"/>
      <c r="FG979" s="652"/>
      <c r="FH979" s="652"/>
      <c r="FI979" s="652"/>
      <c r="FJ979" s="652"/>
      <c r="FK979" s="652"/>
      <c r="FL979" s="652"/>
      <c r="FM979" s="652"/>
      <c r="FN979" s="652"/>
      <c r="FO979" s="652"/>
      <c r="FP979" s="652"/>
      <c r="FQ979" s="652"/>
      <c r="FR979" s="652"/>
      <c r="FS979" s="652"/>
      <c r="FT979" s="652"/>
      <c r="FU979" s="652"/>
      <c r="FV979" s="652"/>
      <c r="FW979" s="652"/>
      <c r="FX979" s="652"/>
      <c r="FY979" s="652"/>
      <c r="FZ979" s="652"/>
      <c r="GA979" s="652"/>
      <c r="GB979" s="652"/>
      <c r="GC979" s="652"/>
      <c r="GD979" s="652"/>
      <c r="GE979" s="652"/>
      <c r="GF979" s="652"/>
      <c r="GG979" s="652"/>
      <c r="GH979" s="652"/>
      <c r="GI979" s="652"/>
      <c r="GJ979" s="652"/>
      <c r="GK979" s="652"/>
      <c r="GL979" s="652"/>
      <c r="GM979" s="652"/>
      <c r="GN979" s="652"/>
      <c r="GO979" s="652"/>
      <c r="GP979" s="652"/>
      <c r="GQ979" s="652"/>
      <c r="GR979" s="652"/>
      <c r="GS979" s="652"/>
      <c r="GT979" s="652"/>
      <c r="GU979" s="652"/>
      <c r="GV979" s="652"/>
      <c r="GW979" s="652"/>
      <c r="GX979" s="652"/>
      <c r="GY979" s="652"/>
      <c r="GZ979" s="652"/>
      <c r="HA979" s="652"/>
      <c r="HB979" s="652"/>
      <c r="HC979" s="652"/>
      <c r="HD979" s="652"/>
      <c r="HE979" s="652"/>
      <c r="HF979" s="652"/>
      <c r="HG979" s="652"/>
      <c r="HH979" s="652"/>
      <c r="HI979" s="652"/>
      <c r="HJ979" s="652"/>
      <c r="HK979" s="652"/>
      <c r="HL979" s="652"/>
      <c r="HM979" s="652"/>
      <c r="HN979" s="652"/>
      <c r="HO979" s="652"/>
      <c r="HP979" s="652"/>
      <c r="HQ979" s="652"/>
      <c r="HR979" s="652"/>
      <c r="HS979" s="652"/>
      <c r="HT979" s="652"/>
      <c r="HU979" s="652"/>
      <c r="HV979" s="652"/>
      <c r="HW979" s="652"/>
      <c r="HX979" s="652"/>
      <c r="HY979" s="652"/>
      <c r="HZ979" s="652"/>
      <c r="IA979" s="652"/>
      <c r="IB979" s="652"/>
      <c r="IC979" s="652"/>
      <c r="ID979" s="652"/>
      <c r="IE979" s="652"/>
      <c r="IF979" s="652"/>
      <c r="IG979" s="652"/>
      <c r="IH979" s="652"/>
      <c r="II979" s="652"/>
      <c r="IJ979" s="652"/>
      <c r="IK979" s="652"/>
      <c r="IL979" s="652"/>
      <c r="IM979" s="652"/>
      <c r="IN979" s="652"/>
      <c r="IO979" s="652"/>
      <c r="IP979" s="652"/>
      <c r="IQ979" s="652"/>
      <c r="IR979" s="652"/>
      <c r="IS979" s="652"/>
      <c r="IT979" s="652"/>
      <c r="IU979" s="652"/>
      <c r="IV979" s="652"/>
    </row>
    <row r="980" spans="1:256" s="642" customFormat="1" x14ac:dyDescent="0.25">
      <c r="A980" s="634" t="s">
        <v>277</v>
      </c>
      <c r="B980" s="634">
        <v>247</v>
      </c>
      <c r="C980" s="634"/>
      <c r="D980" s="635" t="s">
        <v>1070</v>
      </c>
      <c r="E980" s="634" t="s">
        <v>229</v>
      </c>
      <c r="F980" s="635">
        <v>0.06</v>
      </c>
      <c r="G980" s="681">
        <v>9.65</v>
      </c>
      <c r="H980" s="625"/>
      <c r="I980" s="728"/>
      <c r="J980" s="728">
        <f>ROUND(F980*G980,2)</f>
        <v>0.57999999999999996</v>
      </c>
      <c r="K980" s="728"/>
      <c r="L980" s="674"/>
      <c r="M980" s="674"/>
      <c r="N980" s="674"/>
      <c r="O980" s="674"/>
      <c r="P980" s="674"/>
      <c r="Q980" s="652"/>
      <c r="R980" s="652"/>
      <c r="S980" s="652"/>
      <c r="T980" s="652"/>
      <c r="U980" s="652"/>
      <c r="V980" s="652"/>
      <c r="W980" s="652"/>
      <c r="X980" s="652"/>
      <c r="Y980" s="652"/>
      <c r="Z980" s="652"/>
      <c r="AA980" s="652"/>
      <c r="AB980" s="652"/>
      <c r="AC980" s="652"/>
      <c r="AD980" s="652"/>
      <c r="AE980" s="652"/>
      <c r="AF980" s="652"/>
      <c r="AG980" s="652"/>
      <c r="AH980" s="652"/>
      <c r="AI980" s="652"/>
      <c r="AJ980" s="652"/>
      <c r="AK980" s="652"/>
      <c r="AL980" s="652"/>
      <c r="AM980" s="652"/>
      <c r="AN980" s="652"/>
      <c r="AO980" s="652"/>
      <c r="AP980" s="652"/>
      <c r="AQ980" s="652"/>
      <c r="AR980" s="652"/>
      <c r="AS980" s="652"/>
      <c r="AT980" s="652"/>
      <c r="AU980" s="652"/>
      <c r="AV980" s="652"/>
      <c r="AW980" s="652"/>
      <c r="AX980" s="652"/>
      <c r="AY980" s="652"/>
      <c r="AZ980" s="652"/>
      <c r="BA980" s="652"/>
      <c r="BB980" s="652"/>
      <c r="BC980" s="652"/>
      <c r="BD980" s="652"/>
      <c r="BE980" s="652"/>
      <c r="BF980" s="652"/>
      <c r="BG980" s="652"/>
      <c r="BH980" s="652"/>
      <c r="BI980" s="652"/>
      <c r="BJ980" s="652"/>
      <c r="BK980" s="652"/>
      <c r="BL980" s="652"/>
      <c r="BM980" s="652"/>
      <c r="BN980" s="652"/>
      <c r="BO980" s="652"/>
      <c r="BP980" s="652"/>
      <c r="BQ980" s="652"/>
      <c r="BR980" s="652"/>
      <c r="BS980" s="652"/>
      <c r="BT980" s="652"/>
      <c r="BU980" s="652"/>
      <c r="BV980" s="652"/>
      <c r="BW980" s="652"/>
      <c r="BX980" s="652"/>
      <c r="BY980" s="652"/>
      <c r="BZ980" s="652"/>
      <c r="CA980" s="652"/>
      <c r="CB980" s="652"/>
      <c r="CC980" s="652"/>
      <c r="CD980" s="652"/>
      <c r="CE980" s="652"/>
      <c r="CF980" s="652"/>
      <c r="CG980" s="652"/>
      <c r="CH980" s="652"/>
      <c r="CI980" s="652"/>
      <c r="CJ980" s="652"/>
      <c r="CK980" s="652"/>
      <c r="CL980" s="652"/>
      <c r="CM980" s="652"/>
      <c r="CN980" s="652"/>
      <c r="CO980" s="652"/>
      <c r="CP980" s="652"/>
      <c r="CQ980" s="652"/>
      <c r="CR980" s="652"/>
      <c r="CS980" s="652"/>
      <c r="CT980" s="652"/>
      <c r="CU980" s="652"/>
      <c r="CV980" s="652"/>
      <c r="CW980" s="652"/>
      <c r="CX980" s="652"/>
      <c r="CY980" s="652"/>
      <c r="CZ980" s="652"/>
      <c r="DA980" s="652"/>
      <c r="DB980" s="652"/>
      <c r="DC980" s="652"/>
      <c r="DD980" s="652"/>
      <c r="DE980" s="652"/>
      <c r="DF980" s="652"/>
      <c r="DG980" s="652"/>
      <c r="DH980" s="652"/>
      <c r="DI980" s="652"/>
      <c r="DJ980" s="652"/>
      <c r="DK980" s="652"/>
      <c r="DL980" s="652"/>
      <c r="DM980" s="652"/>
      <c r="DN980" s="652"/>
      <c r="DO980" s="652"/>
      <c r="DP980" s="652"/>
      <c r="DQ980" s="652"/>
      <c r="DR980" s="652"/>
      <c r="DS980" s="652"/>
      <c r="DT980" s="652"/>
      <c r="DU980" s="652"/>
      <c r="DV980" s="652"/>
      <c r="DW980" s="652"/>
      <c r="DX980" s="652"/>
      <c r="DY980" s="652"/>
      <c r="DZ980" s="652"/>
      <c r="EA980" s="652"/>
      <c r="EB980" s="652"/>
      <c r="EC980" s="652"/>
      <c r="ED980" s="652"/>
      <c r="EE980" s="652"/>
      <c r="EF980" s="652"/>
      <c r="EG980" s="652"/>
      <c r="EH980" s="652"/>
      <c r="EI980" s="652"/>
      <c r="EJ980" s="652"/>
      <c r="EK980" s="652"/>
      <c r="EL980" s="652"/>
      <c r="EM980" s="652"/>
      <c r="EN980" s="652"/>
      <c r="EO980" s="652"/>
      <c r="EP980" s="652"/>
      <c r="EQ980" s="652"/>
      <c r="ER980" s="652"/>
      <c r="ES980" s="652"/>
      <c r="ET980" s="652"/>
      <c r="EU980" s="652"/>
      <c r="EV980" s="652"/>
      <c r="EW980" s="652"/>
      <c r="EX980" s="652"/>
      <c r="EY980" s="652"/>
      <c r="EZ980" s="652"/>
      <c r="FA980" s="652"/>
      <c r="FB980" s="652"/>
      <c r="FC980" s="652"/>
      <c r="FD980" s="652"/>
      <c r="FE980" s="652"/>
      <c r="FF980" s="652"/>
      <c r="FG980" s="652"/>
      <c r="FH980" s="652"/>
      <c r="FI980" s="652"/>
      <c r="FJ980" s="652"/>
      <c r="FK980" s="652"/>
      <c r="FL980" s="652"/>
      <c r="FM980" s="652"/>
      <c r="FN980" s="652"/>
      <c r="FO980" s="652"/>
      <c r="FP980" s="652"/>
      <c r="FQ980" s="652"/>
      <c r="FR980" s="652"/>
      <c r="FS980" s="652"/>
      <c r="FT980" s="652"/>
      <c r="FU980" s="652"/>
      <c r="FV980" s="652"/>
      <c r="FW980" s="652"/>
      <c r="FX980" s="652"/>
      <c r="FY980" s="652"/>
      <c r="FZ980" s="652"/>
      <c r="GA980" s="652"/>
      <c r="GB980" s="652"/>
      <c r="GC980" s="652"/>
      <c r="GD980" s="652"/>
      <c r="GE980" s="652"/>
      <c r="GF980" s="652"/>
      <c r="GG980" s="652"/>
      <c r="GH980" s="652"/>
      <c r="GI980" s="652"/>
      <c r="GJ980" s="652"/>
      <c r="GK980" s="652"/>
      <c r="GL980" s="652"/>
      <c r="GM980" s="652"/>
      <c r="GN980" s="652"/>
      <c r="GO980" s="652"/>
      <c r="GP980" s="652"/>
      <c r="GQ980" s="652"/>
      <c r="GR980" s="652"/>
      <c r="GS980" s="652"/>
      <c r="GT980" s="652"/>
      <c r="GU980" s="652"/>
      <c r="GV980" s="652"/>
      <c r="GW980" s="652"/>
      <c r="GX980" s="652"/>
      <c r="GY980" s="652"/>
      <c r="GZ980" s="652"/>
      <c r="HA980" s="652"/>
      <c r="HB980" s="652"/>
      <c r="HC980" s="652"/>
      <c r="HD980" s="652"/>
      <c r="HE980" s="652"/>
      <c r="HF980" s="652"/>
      <c r="HG980" s="652"/>
      <c r="HH980" s="652"/>
      <c r="HI980" s="652"/>
      <c r="HJ980" s="652"/>
      <c r="HK980" s="652"/>
      <c r="HL980" s="652"/>
      <c r="HM980" s="652"/>
      <c r="HN980" s="652"/>
      <c r="HO980" s="652"/>
      <c r="HP980" s="652"/>
      <c r="HQ980" s="652"/>
      <c r="HR980" s="652"/>
      <c r="HS980" s="652"/>
      <c r="HT980" s="652"/>
      <c r="HU980" s="652"/>
      <c r="HV980" s="652"/>
      <c r="HW980" s="652"/>
      <c r="HX980" s="652"/>
      <c r="HY980" s="652"/>
      <c r="HZ980" s="652"/>
      <c r="IA980" s="652"/>
      <c r="IB980" s="652"/>
      <c r="IC980" s="652"/>
      <c r="ID980" s="652"/>
      <c r="IE980" s="652"/>
      <c r="IF980" s="652"/>
      <c r="IG980" s="652"/>
      <c r="IH980" s="652"/>
      <c r="II980" s="652"/>
      <c r="IJ980" s="652"/>
      <c r="IK980" s="652"/>
      <c r="IL980" s="652"/>
      <c r="IM980" s="652"/>
      <c r="IN980" s="652"/>
      <c r="IO980" s="652"/>
      <c r="IP980" s="652"/>
      <c r="IQ980" s="652"/>
      <c r="IR980" s="652"/>
      <c r="IS980" s="652"/>
      <c r="IT980" s="652"/>
      <c r="IU980" s="652"/>
      <c r="IV980" s="652"/>
    </row>
    <row r="981" spans="1:256" s="642" customFormat="1" x14ac:dyDescent="0.25">
      <c r="A981" s="729"/>
      <c r="B981" s="631" t="s">
        <v>1711</v>
      </c>
      <c r="C981" s="663" t="s">
        <v>1712</v>
      </c>
      <c r="D981" s="630" t="s">
        <v>1713</v>
      </c>
      <c r="E981" s="631" t="s">
        <v>248</v>
      </c>
      <c r="F981" s="730"/>
      <c r="G981" s="731"/>
      <c r="H981" s="632">
        <v>510</v>
      </c>
      <c r="I981" s="677">
        <f>SUM(I982:I984)</f>
        <v>0.6</v>
      </c>
      <c r="J981" s="677">
        <f>SUM(J982:J984)</f>
        <v>0.44</v>
      </c>
      <c r="K981" s="720">
        <f>I981+J981</f>
        <v>1.04</v>
      </c>
      <c r="L981" s="622">
        <f>H981*I981</f>
        <v>306</v>
      </c>
      <c r="M981" s="622">
        <f>H981*J981</f>
        <v>224.4</v>
      </c>
      <c r="N981" s="622">
        <f>L981+M981</f>
        <v>530.4</v>
      </c>
      <c r="O981" s="622">
        <f>N981*$P$4</f>
        <v>130.26624000000001</v>
      </c>
      <c r="P981" s="622">
        <f>N981+O981</f>
        <v>660.66624000000002</v>
      </c>
    </row>
    <row r="982" spans="1:256" s="642" customFormat="1" x14ac:dyDescent="0.25">
      <c r="A982" s="634" t="s">
        <v>277</v>
      </c>
      <c r="B982" s="634">
        <v>11902</v>
      </c>
      <c r="C982" s="634"/>
      <c r="D982" s="732" t="s">
        <v>1713</v>
      </c>
      <c r="E982" s="634" t="s">
        <v>248</v>
      </c>
      <c r="F982" s="635">
        <v>1</v>
      </c>
      <c r="G982" s="681">
        <v>0.6</v>
      </c>
      <c r="H982" s="635"/>
      <c r="I982" s="723">
        <f>ROUND(G982*F982,2)</f>
        <v>0.6</v>
      </c>
      <c r="J982" s="635"/>
      <c r="K982" s="635"/>
      <c r="L982" s="635" t="s">
        <v>1207</v>
      </c>
      <c r="M982" s="635"/>
      <c r="N982" s="635"/>
      <c r="O982" s="635"/>
      <c r="P982" s="635"/>
    </row>
    <row r="983" spans="1:256" s="642" customFormat="1" x14ac:dyDescent="0.25">
      <c r="A983" s="634" t="s">
        <v>277</v>
      </c>
      <c r="B983" s="634">
        <v>2436</v>
      </c>
      <c r="C983" s="634"/>
      <c r="D983" s="635" t="s">
        <v>1069</v>
      </c>
      <c r="E983" s="634" t="s">
        <v>229</v>
      </c>
      <c r="F983" s="635">
        <v>0.02</v>
      </c>
      <c r="G983" s="681">
        <v>12.57</v>
      </c>
      <c r="H983" s="635"/>
      <c r="I983" s="635"/>
      <c r="J983" s="723">
        <f>ROUND(F983*G983,2)</f>
        <v>0.25</v>
      </c>
      <c r="K983" s="635"/>
      <c r="L983" s="635"/>
      <c r="M983" s="635"/>
      <c r="N983" s="635"/>
      <c r="O983" s="635"/>
      <c r="P983" s="635"/>
    </row>
    <row r="984" spans="1:256" s="642" customFormat="1" x14ac:dyDescent="0.25">
      <c r="A984" s="634" t="s">
        <v>277</v>
      </c>
      <c r="B984" s="634">
        <v>247</v>
      </c>
      <c r="C984" s="634"/>
      <c r="D984" s="635" t="s">
        <v>1070</v>
      </c>
      <c r="E984" s="634" t="s">
        <v>229</v>
      </c>
      <c r="F984" s="635">
        <v>0.02</v>
      </c>
      <c r="G984" s="681">
        <v>9.65</v>
      </c>
      <c r="H984" s="635"/>
      <c r="I984" s="635"/>
      <c r="J984" s="723">
        <f>ROUND(F984*G984,2)</f>
        <v>0.19</v>
      </c>
      <c r="K984" s="635"/>
      <c r="L984" s="635"/>
      <c r="M984" s="635"/>
      <c r="N984" s="635"/>
      <c r="O984" s="635"/>
      <c r="P984" s="635"/>
    </row>
    <row r="985" spans="1:256" s="642" customFormat="1" x14ac:dyDescent="0.25">
      <c r="A985" s="729"/>
      <c r="B985" s="631" t="s">
        <v>1714</v>
      </c>
      <c r="C985" s="663" t="s">
        <v>1715</v>
      </c>
      <c r="D985" s="630" t="s">
        <v>1716</v>
      </c>
      <c r="E985" s="631" t="s">
        <v>248</v>
      </c>
      <c r="F985" s="730"/>
      <c r="G985" s="731"/>
      <c r="H985" s="632">
        <v>22</v>
      </c>
      <c r="I985" s="677">
        <f>SUM(I986:I988)</f>
        <v>0.9</v>
      </c>
      <c r="J985" s="677">
        <f>SUM(J986:J988)</f>
        <v>0.66999999999999993</v>
      </c>
      <c r="K985" s="720">
        <f>I985+J985</f>
        <v>1.5699999999999998</v>
      </c>
      <c r="L985" s="622">
        <f>H985*I985</f>
        <v>19.8</v>
      </c>
      <c r="M985" s="622">
        <f>H985*J985</f>
        <v>14.739999999999998</v>
      </c>
      <c r="N985" s="622">
        <f>L985+M985</f>
        <v>34.54</v>
      </c>
      <c r="O985" s="622">
        <f>N985*$P$4</f>
        <v>8.4830240000000003</v>
      </c>
      <c r="P985" s="622">
        <f>N985+O985</f>
        <v>43.023023999999999</v>
      </c>
    </row>
    <row r="986" spans="1:256" s="642" customFormat="1" x14ac:dyDescent="0.25">
      <c r="A986" s="634" t="s">
        <v>277</v>
      </c>
      <c r="B986" s="634">
        <v>11904</v>
      </c>
      <c r="C986" s="634"/>
      <c r="D986" s="732" t="s">
        <v>1716</v>
      </c>
      <c r="E986" s="634" t="s">
        <v>248</v>
      </c>
      <c r="F986" s="635">
        <v>1</v>
      </c>
      <c r="G986" s="681">
        <v>0.9</v>
      </c>
      <c r="H986" s="635"/>
      <c r="I986" s="723">
        <f>ROUND(G986*F986,2)</f>
        <v>0.9</v>
      </c>
      <c r="J986" s="635"/>
      <c r="K986" s="635"/>
      <c r="L986" s="635" t="s">
        <v>1207</v>
      </c>
      <c r="M986" s="635"/>
      <c r="N986" s="635"/>
      <c r="O986" s="635"/>
      <c r="P986" s="635"/>
    </row>
    <row r="987" spans="1:256" s="642" customFormat="1" x14ac:dyDescent="0.25">
      <c r="A987" s="634" t="s">
        <v>277</v>
      </c>
      <c r="B987" s="634">
        <v>2436</v>
      </c>
      <c r="C987" s="634"/>
      <c r="D987" s="635" t="s">
        <v>1069</v>
      </c>
      <c r="E987" s="634" t="s">
        <v>229</v>
      </c>
      <c r="F987" s="635">
        <v>0.03</v>
      </c>
      <c r="G987" s="681">
        <v>12.57</v>
      </c>
      <c r="H987" s="635"/>
      <c r="I987" s="635"/>
      <c r="J987" s="723">
        <f>ROUND(F987*G987,2)</f>
        <v>0.38</v>
      </c>
      <c r="K987" s="635"/>
      <c r="L987" s="635"/>
      <c r="M987" s="635"/>
      <c r="N987" s="635"/>
      <c r="O987" s="635"/>
      <c r="P987" s="635"/>
    </row>
    <row r="988" spans="1:256" s="642" customFormat="1" x14ac:dyDescent="0.25">
      <c r="A988" s="634" t="s">
        <v>277</v>
      </c>
      <c r="B988" s="634">
        <v>247</v>
      </c>
      <c r="C988" s="634"/>
      <c r="D988" s="635" t="s">
        <v>1070</v>
      </c>
      <c r="E988" s="634" t="s">
        <v>229</v>
      </c>
      <c r="F988" s="635">
        <v>0.03</v>
      </c>
      <c r="G988" s="681">
        <v>9.65</v>
      </c>
      <c r="H988" s="635"/>
      <c r="I988" s="635"/>
      <c r="J988" s="723">
        <f>ROUND(F988*G988,2)</f>
        <v>0.28999999999999998</v>
      </c>
      <c r="K988" s="635"/>
      <c r="L988" s="635"/>
      <c r="M988" s="635"/>
      <c r="N988" s="635"/>
      <c r="O988" s="635"/>
      <c r="P988" s="635"/>
    </row>
    <row r="989" spans="1:256" s="642" customFormat="1" x14ac:dyDescent="0.25">
      <c r="A989" s="729"/>
      <c r="B989" s="631" t="s">
        <v>1717</v>
      </c>
      <c r="C989" s="663" t="s">
        <v>1718</v>
      </c>
      <c r="D989" s="630" t="s">
        <v>1719</v>
      </c>
      <c r="E989" s="631" t="s">
        <v>248</v>
      </c>
      <c r="F989" s="730"/>
      <c r="G989" s="731"/>
      <c r="H989" s="632">
        <v>70</v>
      </c>
      <c r="I989" s="677">
        <f>SUM(I990:I992)</f>
        <v>2.75</v>
      </c>
      <c r="J989" s="677">
        <f>SUM(J990:J992)</f>
        <v>1.33</v>
      </c>
      <c r="K989" s="720">
        <f>I989+J989</f>
        <v>4.08</v>
      </c>
      <c r="L989" s="622">
        <f>H989*I989</f>
        <v>192.5</v>
      </c>
      <c r="M989" s="622">
        <f>H989*J989</f>
        <v>93.100000000000009</v>
      </c>
      <c r="N989" s="622">
        <f>L989+M989</f>
        <v>285.60000000000002</v>
      </c>
      <c r="O989" s="622">
        <f>N989*$P$4</f>
        <v>70.143360000000015</v>
      </c>
      <c r="P989" s="622">
        <f>N989+O989</f>
        <v>355.74336000000005</v>
      </c>
    </row>
    <row r="990" spans="1:256" s="642" customFormat="1" x14ac:dyDescent="0.25">
      <c r="A990" s="634" t="s">
        <v>277</v>
      </c>
      <c r="B990" s="634">
        <v>11919</v>
      </c>
      <c r="C990" s="634"/>
      <c r="D990" s="732" t="s">
        <v>1720</v>
      </c>
      <c r="E990" s="634" t="s">
        <v>248</v>
      </c>
      <c r="F990" s="635">
        <v>1</v>
      </c>
      <c r="G990" s="681">
        <v>2.75</v>
      </c>
      <c r="H990" s="635"/>
      <c r="I990" s="723">
        <f>ROUND(G990*F990,2)</f>
        <v>2.75</v>
      </c>
      <c r="J990" s="635"/>
      <c r="K990" s="635"/>
      <c r="L990" s="635" t="s">
        <v>1207</v>
      </c>
      <c r="M990" s="635"/>
      <c r="N990" s="635"/>
      <c r="O990" s="635"/>
      <c r="P990" s="635"/>
    </row>
    <row r="991" spans="1:256" s="642" customFormat="1" x14ac:dyDescent="0.25">
      <c r="A991" s="634" t="s">
        <v>277</v>
      </c>
      <c r="B991" s="634">
        <v>2436</v>
      </c>
      <c r="C991" s="634"/>
      <c r="D991" s="635" t="s">
        <v>1069</v>
      </c>
      <c r="E991" s="634" t="s">
        <v>229</v>
      </c>
      <c r="F991" s="635">
        <v>0.06</v>
      </c>
      <c r="G991" s="681">
        <v>12.57</v>
      </c>
      <c r="H991" s="635"/>
      <c r="I991" s="635"/>
      <c r="J991" s="723">
        <f>ROUND(F991*G991,2)</f>
        <v>0.75</v>
      </c>
      <c r="K991" s="635"/>
      <c r="L991" s="635"/>
      <c r="M991" s="635"/>
      <c r="N991" s="635"/>
      <c r="O991" s="635"/>
      <c r="P991" s="635"/>
    </row>
    <row r="992" spans="1:256" s="642" customFormat="1" x14ac:dyDescent="0.25">
      <c r="A992" s="634" t="s">
        <v>277</v>
      </c>
      <c r="B992" s="634">
        <v>247</v>
      </c>
      <c r="C992" s="634"/>
      <c r="D992" s="635" t="s">
        <v>1070</v>
      </c>
      <c r="E992" s="634" t="s">
        <v>229</v>
      </c>
      <c r="F992" s="635">
        <v>0.06</v>
      </c>
      <c r="G992" s="681">
        <v>9.65</v>
      </c>
      <c r="H992" s="635"/>
      <c r="I992" s="635"/>
      <c r="J992" s="723">
        <f>ROUND(F992*G992,2)</f>
        <v>0.57999999999999996</v>
      </c>
      <c r="K992" s="635"/>
      <c r="L992" s="635"/>
      <c r="M992" s="635"/>
      <c r="N992" s="635"/>
      <c r="O992" s="635"/>
      <c r="P992" s="635"/>
    </row>
    <row r="993" spans="1:16" s="642" customFormat="1" x14ac:dyDescent="0.25">
      <c r="A993" s="634"/>
      <c r="B993" s="634"/>
      <c r="C993" s="634"/>
      <c r="D993" s="635"/>
      <c r="E993" s="634"/>
      <c r="F993" s="635"/>
      <c r="G993" s="722"/>
      <c r="H993" s="635"/>
      <c r="I993" s="691"/>
      <c r="J993" s="691"/>
      <c r="K993" s="691"/>
      <c r="L993" s="691"/>
      <c r="M993" s="691"/>
      <c r="N993" s="691"/>
      <c r="O993" s="691"/>
      <c r="P993" s="691"/>
    </row>
    <row r="994" spans="1:16" s="642" customFormat="1" x14ac:dyDescent="0.25">
      <c r="A994" s="637"/>
      <c r="B994" s="637"/>
      <c r="C994" s="637" t="s">
        <v>1721</v>
      </c>
      <c r="D994" s="639" t="s">
        <v>1722</v>
      </c>
      <c r="E994" s="637"/>
      <c r="F994" s="639"/>
      <c r="G994" s="640"/>
      <c r="H994" s="639"/>
      <c r="I994" s="639"/>
      <c r="J994" s="639"/>
      <c r="K994" s="639"/>
      <c r="L994" s="639"/>
      <c r="M994" s="639"/>
      <c r="N994" s="639"/>
      <c r="O994" s="639"/>
      <c r="P994" s="653">
        <f>SUM(P996:P1042)</f>
        <v>22534.809767999999</v>
      </c>
    </row>
    <row r="995" spans="1:16" s="642" customFormat="1" x14ac:dyDescent="0.25">
      <c r="A995" s="659"/>
      <c r="B995" s="659"/>
      <c r="C995" s="659"/>
      <c r="D995" s="733"/>
      <c r="E995" s="659"/>
      <c r="F995" s="733"/>
      <c r="G995" s="734"/>
      <c r="H995" s="733"/>
      <c r="I995" s="733"/>
      <c r="J995" s="733"/>
      <c r="K995" s="733"/>
      <c r="L995" s="733"/>
      <c r="M995" s="733"/>
      <c r="N995" s="733"/>
      <c r="O995" s="733"/>
      <c r="P995" s="733"/>
    </row>
    <row r="996" spans="1:16" s="642" customFormat="1" ht="48" x14ac:dyDescent="0.25">
      <c r="A996" s="662"/>
      <c r="B996" s="662"/>
      <c r="C996" s="663" t="s">
        <v>1723</v>
      </c>
      <c r="D996" s="630" t="s">
        <v>1724</v>
      </c>
      <c r="E996" s="631" t="s">
        <v>251</v>
      </c>
      <c r="F996" s="632"/>
      <c r="G996" s="664"/>
      <c r="H996" s="632">
        <v>3</v>
      </c>
      <c r="I996" s="677">
        <f>SUM(I997:I999)</f>
        <v>997.07</v>
      </c>
      <c r="J996" s="677">
        <f>SUM(J997:J999)</f>
        <v>77.55</v>
      </c>
      <c r="K996" s="677">
        <f>I996+J996</f>
        <v>1074.6200000000001</v>
      </c>
      <c r="L996" s="622">
        <f>H996*I996</f>
        <v>2991.21</v>
      </c>
      <c r="M996" s="622">
        <f>H996*J996</f>
        <v>232.64999999999998</v>
      </c>
      <c r="N996" s="622">
        <f>L996+M996</f>
        <v>3223.86</v>
      </c>
      <c r="O996" s="622">
        <f>N996*$P$4</f>
        <v>791.78001600000005</v>
      </c>
      <c r="P996" s="622">
        <f>N996+O996</f>
        <v>4015.6400160000003</v>
      </c>
    </row>
    <row r="997" spans="1:16" s="642" customFormat="1" x14ac:dyDescent="0.25">
      <c r="A997" s="634" t="s">
        <v>1705</v>
      </c>
      <c r="B997" s="679"/>
      <c r="C997" s="735"/>
      <c r="D997" s="693" t="s">
        <v>1725</v>
      </c>
      <c r="E997" s="634" t="s">
        <v>251</v>
      </c>
      <c r="F997" s="635">
        <v>1</v>
      </c>
      <c r="G997" s="681">
        <v>997.07</v>
      </c>
      <c r="H997" s="635"/>
      <c r="I997" s="723">
        <f>F997*G997</f>
        <v>997.07</v>
      </c>
      <c r="J997" s="635"/>
      <c r="K997" s="635"/>
      <c r="L997" s="635"/>
      <c r="M997" s="635"/>
      <c r="N997" s="635"/>
      <c r="O997" s="635"/>
      <c r="P997" s="635"/>
    </row>
    <row r="998" spans="1:16" s="642" customFormat="1" x14ac:dyDescent="0.25">
      <c r="A998" s="634" t="s">
        <v>277</v>
      </c>
      <c r="B998" s="634">
        <v>2439</v>
      </c>
      <c r="C998" s="735"/>
      <c r="D998" s="635" t="s">
        <v>1707</v>
      </c>
      <c r="E998" s="634" t="s">
        <v>229</v>
      </c>
      <c r="F998" s="635">
        <v>3</v>
      </c>
      <c r="G998" s="681">
        <v>16.2</v>
      </c>
      <c r="H998" s="635"/>
      <c r="I998" s="635"/>
      <c r="J998" s="723">
        <f>F998*G998</f>
        <v>48.599999999999994</v>
      </c>
      <c r="K998" s="635"/>
      <c r="L998" s="635"/>
      <c r="M998" s="635"/>
      <c r="N998" s="635"/>
      <c r="O998" s="635"/>
      <c r="P998" s="635"/>
    </row>
    <row r="999" spans="1:16" s="642" customFormat="1" x14ac:dyDescent="0.25">
      <c r="A999" s="634" t="s">
        <v>277</v>
      </c>
      <c r="B999" s="634">
        <v>247</v>
      </c>
      <c r="C999" s="735"/>
      <c r="D999" s="635" t="s">
        <v>1070</v>
      </c>
      <c r="E999" s="634" t="s">
        <v>229</v>
      </c>
      <c r="F999" s="635">
        <v>3</v>
      </c>
      <c r="G999" s="681">
        <v>9.65</v>
      </c>
      <c r="H999" s="635"/>
      <c r="I999" s="635"/>
      <c r="J999" s="723">
        <f>F999*G999</f>
        <v>28.950000000000003</v>
      </c>
      <c r="K999" s="635"/>
      <c r="L999" s="635"/>
      <c r="M999" s="635"/>
      <c r="N999" s="635"/>
      <c r="O999" s="635"/>
      <c r="P999" s="635"/>
    </row>
    <row r="1000" spans="1:16" s="642" customFormat="1" ht="48" x14ac:dyDescent="0.25">
      <c r="A1000" s="662"/>
      <c r="B1000" s="662"/>
      <c r="C1000" s="663" t="s">
        <v>1726</v>
      </c>
      <c r="D1000" s="630" t="s">
        <v>1727</v>
      </c>
      <c r="E1000" s="631" t="s">
        <v>251</v>
      </c>
      <c r="F1000" s="632"/>
      <c r="G1000" s="664"/>
      <c r="H1000" s="632">
        <v>1</v>
      </c>
      <c r="I1000" s="677">
        <f>SUM(I1001:I1003)</f>
        <v>1106.3900000000001</v>
      </c>
      <c r="J1000" s="677">
        <f>SUM(J1001:J1003)</f>
        <v>77.55</v>
      </c>
      <c r="K1000" s="677">
        <f>I1000+J1000</f>
        <v>1183.94</v>
      </c>
      <c r="L1000" s="622">
        <f>H1000*I1000</f>
        <v>1106.3900000000001</v>
      </c>
      <c r="M1000" s="622">
        <f>H1000*J1000</f>
        <v>77.55</v>
      </c>
      <c r="N1000" s="622">
        <f>L1000+M1000</f>
        <v>1183.94</v>
      </c>
      <c r="O1000" s="622">
        <f>N1000*$P$4</f>
        <v>290.77566400000001</v>
      </c>
      <c r="P1000" s="622">
        <f>N1000+O1000</f>
        <v>1474.7156640000001</v>
      </c>
    </row>
    <row r="1001" spans="1:16" s="642" customFormat="1" x14ac:dyDescent="0.25">
      <c r="A1001" s="634" t="s">
        <v>1705</v>
      </c>
      <c r="B1001" s="679"/>
      <c r="C1001" s="735"/>
      <c r="D1001" s="693" t="s">
        <v>1728</v>
      </c>
      <c r="E1001" s="634" t="s">
        <v>251</v>
      </c>
      <c r="F1001" s="635">
        <v>1</v>
      </c>
      <c r="G1001" s="681">
        <v>1106.3900000000001</v>
      </c>
      <c r="H1001" s="635"/>
      <c r="I1001" s="723">
        <f>F1001*G1001</f>
        <v>1106.3900000000001</v>
      </c>
      <c r="J1001" s="635"/>
      <c r="K1001" s="635"/>
      <c r="L1001" s="635"/>
      <c r="M1001" s="635"/>
      <c r="N1001" s="635"/>
      <c r="O1001" s="635"/>
      <c r="P1001" s="635"/>
    </row>
    <row r="1002" spans="1:16" s="642" customFormat="1" x14ac:dyDescent="0.25">
      <c r="A1002" s="634" t="s">
        <v>277</v>
      </c>
      <c r="B1002" s="634">
        <v>2439</v>
      </c>
      <c r="C1002" s="735"/>
      <c r="D1002" s="635" t="s">
        <v>1707</v>
      </c>
      <c r="E1002" s="634" t="s">
        <v>229</v>
      </c>
      <c r="F1002" s="635">
        <v>3</v>
      </c>
      <c r="G1002" s="681">
        <v>16.2</v>
      </c>
      <c r="H1002" s="635"/>
      <c r="I1002" s="635"/>
      <c r="J1002" s="723">
        <f>F1002*G1002</f>
        <v>48.599999999999994</v>
      </c>
      <c r="K1002" s="635"/>
      <c r="L1002" s="635"/>
      <c r="M1002" s="635"/>
      <c r="N1002" s="635"/>
      <c r="O1002" s="635"/>
      <c r="P1002" s="635"/>
    </row>
    <row r="1003" spans="1:16" s="642" customFormat="1" x14ac:dyDescent="0.25">
      <c r="A1003" s="634" t="s">
        <v>277</v>
      </c>
      <c r="B1003" s="634">
        <v>247</v>
      </c>
      <c r="C1003" s="735"/>
      <c r="D1003" s="635" t="s">
        <v>1070</v>
      </c>
      <c r="E1003" s="634" t="s">
        <v>229</v>
      </c>
      <c r="F1003" s="635">
        <v>3</v>
      </c>
      <c r="G1003" s="681">
        <v>9.65</v>
      </c>
      <c r="H1003" s="635"/>
      <c r="I1003" s="635"/>
      <c r="J1003" s="723">
        <f>F1003*G1003</f>
        <v>28.950000000000003</v>
      </c>
      <c r="K1003" s="635"/>
      <c r="L1003" s="635"/>
      <c r="M1003" s="635"/>
      <c r="N1003" s="635"/>
      <c r="O1003" s="635"/>
      <c r="P1003" s="635"/>
    </row>
    <row r="1004" spans="1:16" s="642" customFormat="1" x14ac:dyDescent="0.25">
      <c r="A1004" s="662"/>
      <c r="B1004" s="662"/>
      <c r="C1004" s="663" t="s">
        <v>1729</v>
      </c>
      <c r="D1004" s="630" t="s">
        <v>1730</v>
      </c>
      <c r="E1004" s="631" t="s">
        <v>251</v>
      </c>
      <c r="F1004" s="632"/>
      <c r="G1004" s="664"/>
      <c r="H1004" s="632">
        <v>4</v>
      </c>
      <c r="I1004" s="677">
        <f>SUM(I1005:I1007)</f>
        <v>39.36</v>
      </c>
      <c r="J1004" s="677">
        <f>SUM(J1005:J1007)</f>
        <v>5.17</v>
      </c>
      <c r="K1004" s="677">
        <f>I1004+J1004</f>
        <v>44.53</v>
      </c>
      <c r="L1004" s="622">
        <f>H1004*I1004</f>
        <v>157.44</v>
      </c>
      <c r="M1004" s="622">
        <f>H1004*J1004</f>
        <v>20.68</v>
      </c>
      <c r="N1004" s="622">
        <f>L1004+M1004</f>
        <v>178.12</v>
      </c>
      <c r="O1004" s="622">
        <f>N1004*$P$4</f>
        <v>43.746272000000005</v>
      </c>
      <c r="P1004" s="622">
        <f>N1004+O1004</f>
        <v>221.86627200000001</v>
      </c>
    </row>
    <row r="1005" spans="1:16" s="642" customFormat="1" x14ac:dyDescent="0.25">
      <c r="A1005" s="634" t="s">
        <v>1705</v>
      </c>
      <c r="B1005" s="679"/>
      <c r="C1005" s="735"/>
      <c r="D1005" s="693" t="s">
        <v>1730</v>
      </c>
      <c r="E1005" s="634"/>
      <c r="F1005" s="635">
        <v>1</v>
      </c>
      <c r="G1005" s="681">
        <v>39.36</v>
      </c>
      <c r="H1005" s="635"/>
      <c r="I1005" s="723">
        <f>F1005*G1005</f>
        <v>39.36</v>
      </c>
      <c r="J1005" s="635"/>
      <c r="K1005" s="635"/>
      <c r="L1005" s="635"/>
      <c r="M1005" s="635"/>
      <c r="N1005" s="635"/>
      <c r="O1005" s="635"/>
      <c r="P1005" s="635"/>
    </row>
    <row r="1006" spans="1:16" s="642" customFormat="1" x14ac:dyDescent="0.25">
      <c r="A1006" s="634" t="s">
        <v>277</v>
      </c>
      <c r="B1006" s="634">
        <v>2439</v>
      </c>
      <c r="C1006" s="735"/>
      <c r="D1006" s="635" t="s">
        <v>1707</v>
      </c>
      <c r="E1006" s="634" t="s">
        <v>229</v>
      </c>
      <c r="F1006" s="635">
        <v>0.2</v>
      </c>
      <c r="G1006" s="681">
        <v>16.2</v>
      </c>
      <c r="H1006" s="635"/>
      <c r="I1006" s="635"/>
      <c r="J1006" s="723">
        <f>F1006*G1006</f>
        <v>3.24</v>
      </c>
      <c r="K1006" s="635"/>
      <c r="L1006" s="635"/>
      <c r="M1006" s="635"/>
      <c r="N1006" s="635"/>
      <c r="O1006" s="635"/>
      <c r="P1006" s="635"/>
    </row>
    <row r="1007" spans="1:16" s="642" customFormat="1" x14ac:dyDescent="0.25">
      <c r="A1007" s="634" t="s">
        <v>277</v>
      </c>
      <c r="B1007" s="634">
        <v>247</v>
      </c>
      <c r="C1007" s="735"/>
      <c r="D1007" s="635" t="s">
        <v>1070</v>
      </c>
      <c r="E1007" s="634" t="s">
        <v>229</v>
      </c>
      <c r="F1007" s="635">
        <v>0.2</v>
      </c>
      <c r="G1007" s="681">
        <v>9.65</v>
      </c>
      <c r="H1007" s="635"/>
      <c r="I1007" s="635"/>
      <c r="J1007" s="723">
        <f>F1007*G1007</f>
        <v>1.9300000000000002</v>
      </c>
      <c r="K1007" s="635"/>
      <c r="L1007" s="635"/>
      <c r="M1007" s="635"/>
      <c r="N1007" s="635"/>
      <c r="O1007" s="635"/>
      <c r="P1007" s="635"/>
    </row>
    <row r="1008" spans="1:16" s="642" customFormat="1" ht="24" x14ac:dyDescent="0.25">
      <c r="A1008" s="662"/>
      <c r="B1008" s="662"/>
      <c r="C1008" s="663" t="s">
        <v>1731</v>
      </c>
      <c r="D1008" s="630" t="s">
        <v>1732</v>
      </c>
      <c r="E1008" s="631" t="s">
        <v>251</v>
      </c>
      <c r="F1008" s="632"/>
      <c r="G1008" s="664"/>
      <c r="H1008" s="632">
        <v>6</v>
      </c>
      <c r="I1008" s="677">
        <f>SUM(I1009:I1011)</f>
        <v>535</v>
      </c>
      <c r="J1008" s="677">
        <f>SUM(J1009:J1011)</f>
        <v>51.7</v>
      </c>
      <c r="K1008" s="677">
        <f>I1008+J1008</f>
        <v>586.70000000000005</v>
      </c>
      <c r="L1008" s="622">
        <f>H1008*I1008</f>
        <v>3210</v>
      </c>
      <c r="M1008" s="622">
        <f>H1008*J1008</f>
        <v>310.20000000000005</v>
      </c>
      <c r="N1008" s="622">
        <f>L1008+M1008</f>
        <v>3520.2</v>
      </c>
      <c r="O1008" s="622">
        <f>N1008*$P$4</f>
        <v>864.56111999999996</v>
      </c>
      <c r="P1008" s="622">
        <f>N1008+O1008</f>
        <v>4384.7611200000001</v>
      </c>
    </row>
    <row r="1009" spans="1:256" s="642" customFormat="1" ht="24" x14ac:dyDescent="0.25">
      <c r="A1009" s="634" t="s">
        <v>1705</v>
      </c>
      <c r="B1009" s="679"/>
      <c r="C1009" s="634"/>
      <c r="D1009" s="693" t="s">
        <v>1733</v>
      </c>
      <c r="E1009" s="634"/>
      <c r="F1009" s="635">
        <v>1</v>
      </c>
      <c r="G1009" s="681">
        <v>535</v>
      </c>
      <c r="H1009" s="635"/>
      <c r="I1009" s="691">
        <f>ROUND(F1009*G1009,2)</f>
        <v>535</v>
      </c>
      <c r="J1009" s="691"/>
      <c r="K1009" s="691"/>
      <c r="L1009" s="691"/>
      <c r="M1009" s="691"/>
      <c r="N1009" s="691"/>
      <c r="O1009" s="691"/>
      <c r="P1009" s="691"/>
    </row>
    <row r="1010" spans="1:256" s="642" customFormat="1" x14ac:dyDescent="0.25">
      <c r="A1010" s="634" t="s">
        <v>277</v>
      </c>
      <c r="B1010" s="634">
        <v>2439</v>
      </c>
      <c r="C1010" s="634"/>
      <c r="D1010" s="635" t="s">
        <v>1707</v>
      </c>
      <c r="E1010" s="634" t="s">
        <v>229</v>
      </c>
      <c r="F1010" s="635">
        <v>2</v>
      </c>
      <c r="G1010" s="681">
        <v>16.2</v>
      </c>
      <c r="H1010" s="635"/>
      <c r="I1010" s="691"/>
      <c r="J1010" s="691">
        <f>ROUND(F1010*G1010,2)</f>
        <v>32.4</v>
      </c>
      <c r="K1010" s="691"/>
      <c r="L1010" s="691"/>
      <c r="M1010" s="691"/>
      <c r="N1010" s="691"/>
      <c r="O1010" s="691"/>
      <c r="P1010" s="691"/>
    </row>
    <row r="1011" spans="1:256" s="642" customFormat="1" x14ac:dyDescent="0.25">
      <c r="A1011" s="634" t="s">
        <v>277</v>
      </c>
      <c r="B1011" s="634">
        <v>247</v>
      </c>
      <c r="C1011" s="634"/>
      <c r="D1011" s="635" t="s">
        <v>1070</v>
      </c>
      <c r="E1011" s="634" t="s">
        <v>229</v>
      </c>
      <c r="F1011" s="635">
        <v>2</v>
      </c>
      <c r="G1011" s="681">
        <v>9.65</v>
      </c>
      <c r="H1011" s="635"/>
      <c r="I1011" s="691"/>
      <c r="J1011" s="691">
        <f>ROUND(F1011*G1011,2)</f>
        <v>19.3</v>
      </c>
      <c r="K1011" s="691"/>
      <c r="L1011" s="691"/>
      <c r="M1011" s="691"/>
      <c r="N1011" s="691"/>
      <c r="O1011" s="691"/>
      <c r="P1011" s="691"/>
    </row>
    <row r="1012" spans="1:256" s="642" customFormat="1" ht="24" x14ac:dyDescent="0.25">
      <c r="A1012" s="662"/>
      <c r="B1012" s="662"/>
      <c r="C1012" s="663" t="s">
        <v>1734</v>
      </c>
      <c r="D1012" s="630" t="s">
        <v>1735</v>
      </c>
      <c r="E1012" s="631" t="s">
        <v>251</v>
      </c>
      <c r="F1012" s="632"/>
      <c r="G1012" s="664"/>
      <c r="H1012" s="632">
        <v>18</v>
      </c>
      <c r="I1012" s="677">
        <f>SUM(I1013:I1014)</f>
        <v>0</v>
      </c>
      <c r="J1012" s="677">
        <f>SUM(J1013:J1014)</f>
        <v>12.93</v>
      </c>
      <c r="K1012" s="677">
        <f>I1012+J1012</f>
        <v>12.93</v>
      </c>
      <c r="L1012" s="622">
        <f>H1012*I1012</f>
        <v>0</v>
      </c>
      <c r="M1012" s="622">
        <f>H1012*J1012</f>
        <v>232.74</v>
      </c>
      <c r="N1012" s="622">
        <f>L1012+M1012</f>
        <v>232.74</v>
      </c>
      <c r="O1012" s="622">
        <f>N1012*$P$4</f>
        <v>57.160944000000008</v>
      </c>
      <c r="P1012" s="622">
        <f>N1012+O1012</f>
        <v>289.90094400000004</v>
      </c>
    </row>
    <row r="1013" spans="1:256" s="642" customFormat="1" x14ac:dyDescent="0.25">
      <c r="A1013" s="634" t="s">
        <v>277</v>
      </c>
      <c r="B1013" s="634">
        <v>2439</v>
      </c>
      <c r="C1013" s="634"/>
      <c r="D1013" s="635" t="s">
        <v>1707</v>
      </c>
      <c r="E1013" s="634" t="s">
        <v>229</v>
      </c>
      <c r="F1013" s="635">
        <v>0.5</v>
      </c>
      <c r="G1013" s="681">
        <v>16.2</v>
      </c>
      <c r="H1013" s="635"/>
      <c r="I1013" s="691"/>
      <c r="J1013" s="691">
        <f>ROUND(F1013*G1013,2)</f>
        <v>8.1</v>
      </c>
      <c r="K1013" s="691"/>
      <c r="L1013" s="691"/>
      <c r="M1013" s="691"/>
      <c r="N1013" s="691"/>
      <c r="O1013" s="691"/>
      <c r="P1013" s="691"/>
    </row>
    <row r="1014" spans="1:256" s="642" customFormat="1" x14ac:dyDescent="0.25">
      <c r="A1014" s="634" t="s">
        <v>277</v>
      </c>
      <c r="B1014" s="634">
        <v>247</v>
      </c>
      <c r="C1014" s="634"/>
      <c r="D1014" s="635" t="s">
        <v>1070</v>
      </c>
      <c r="E1014" s="634" t="s">
        <v>229</v>
      </c>
      <c r="F1014" s="635">
        <v>0.5</v>
      </c>
      <c r="G1014" s="681">
        <v>9.65</v>
      </c>
      <c r="H1014" s="635"/>
      <c r="I1014" s="691"/>
      <c r="J1014" s="691">
        <f>ROUND(F1014*G1014,2)</f>
        <v>4.83</v>
      </c>
      <c r="K1014" s="691"/>
      <c r="L1014" s="691"/>
      <c r="M1014" s="691"/>
      <c r="N1014" s="691"/>
      <c r="O1014" s="691"/>
      <c r="P1014" s="691"/>
    </row>
    <row r="1015" spans="1:256" s="642" customFormat="1" x14ac:dyDescent="0.25">
      <c r="A1015" s="662" t="s">
        <v>1207</v>
      </c>
      <c r="B1015" s="662"/>
      <c r="C1015" s="663" t="s">
        <v>1736</v>
      </c>
      <c r="D1015" s="630" t="s">
        <v>1737</v>
      </c>
      <c r="E1015" s="631" t="s">
        <v>251</v>
      </c>
      <c r="F1015" s="632"/>
      <c r="G1015" s="664"/>
      <c r="H1015" s="632">
        <v>3</v>
      </c>
      <c r="I1015" s="677">
        <f>SUM(I1016:I1018)</f>
        <v>43.3</v>
      </c>
      <c r="J1015" s="677">
        <f>SUM(J1016:J1018)</f>
        <v>12.93</v>
      </c>
      <c r="K1015" s="677">
        <f>I1015+J1015</f>
        <v>56.23</v>
      </c>
      <c r="L1015" s="622">
        <f>H1015*I1015</f>
        <v>129.89999999999998</v>
      </c>
      <c r="M1015" s="622">
        <f>H1015*J1015</f>
        <v>38.79</v>
      </c>
      <c r="N1015" s="622">
        <f>L1015+M1015</f>
        <v>168.68999999999997</v>
      </c>
      <c r="O1015" s="622">
        <f>N1015*$P$4</f>
        <v>41.430263999999994</v>
      </c>
      <c r="P1015" s="622">
        <f>N1015+O1015</f>
        <v>210.12026399999996</v>
      </c>
    </row>
    <row r="1016" spans="1:256" s="642" customFormat="1" x14ac:dyDescent="0.25">
      <c r="A1016" s="634" t="s">
        <v>1108</v>
      </c>
      <c r="B1016" s="679"/>
      <c r="C1016" s="634"/>
      <c r="D1016" s="693" t="s">
        <v>1738</v>
      </c>
      <c r="E1016" s="634" t="s">
        <v>251</v>
      </c>
      <c r="F1016" s="635">
        <v>1</v>
      </c>
      <c r="G1016" s="681">
        <v>43.3</v>
      </c>
      <c r="H1016" s="635"/>
      <c r="I1016" s="691">
        <f>ROUND(F1016*G1016,2)</f>
        <v>43.3</v>
      </c>
      <c r="J1016" s="691"/>
      <c r="K1016" s="691"/>
      <c r="L1016" s="691"/>
      <c r="M1016" s="691"/>
      <c r="N1016" s="691"/>
      <c r="O1016" s="691"/>
      <c r="P1016" s="691"/>
    </row>
    <row r="1017" spans="1:256" s="642" customFormat="1" x14ac:dyDescent="0.25">
      <c r="A1017" s="634" t="s">
        <v>277</v>
      </c>
      <c r="B1017" s="634">
        <v>2439</v>
      </c>
      <c r="C1017" s="634"/>
      <c r="D1017" s="635" t="s">
        <v>1707</v>
      </c>
      <c r="E1017" s="634" t="s">
        <v>229</v>
      </c>
      <c r="F1017" s="635">
        <v>0.5</v>
      </c>
      <c r="G1017" s="681">
        <v>16.2</v>
      </c>
      <c r="H1017" s="635"/>
      <c r="I1017" s="691"/>
      <c r="J1017" s="691">
        <f>ROUND(F1017*G1017,2)</f>
        <v>8.1</v>
      </c>
      <c r="K1017" s="691"/>
      <c r="L1017" s="691"/>
      <c r="M1017" s="691"/>
      <c r="N1017" s="691"/>
      <c r="O1017" s="691"/>
      <c r="P1017" s="691"/>
    </row>
    <row r="1018" spans="1:256" s="642" customFormat="1" x14ac:dyDescent="0.25">
      <c r="A1018" s="634" t="s">
        <v>277</v>
      </c>
      <c r="B1018" s="634">
        <v>247</v>
      </c>
      <c r="C1018" s="634"/>
      <c r="D1018" s="635" t="s">
        <v>1070</v>
      </c>
      <c r="E1018" s="634" t="s">
        <v>229</v>
      </c>
      <c r="F1018" s="635">
        <v>0.5</v>
      </c>
      <c r="G1018" s="681">
        <v>9.65</v>
      </c>
      <c r="H1018" s="635"/>
      <c r="I1018" s="691"/>
      <c r="J1018" s="691">
        <f>ROUND(F1018*G1018,2)</f>
        <v>4.83</v>
      </c>
      <c r="K1018" s="691"/>
      <c r="L1018" s="691"/>
      <c r="M1018" s="691"/>
      <c r="N1018" s="691"/>
      <c r="O1018" s="691"/>
      <c r="P1018" s="691"/>
    </row>
    <row r="1019" spans="1:256" s="642" customFormat="1" ht="36" x14ac:dyDescent="0.25">
      <c r="A1019" s="675"/>
      <c r="B1019" s="675"/>
      <c r="C1019" s="675" t="s">
        <v>1739</v>
      </c>
      <c r="D1019" s="620" t="s">
        <v>1740</v>
      </c>
      <c r="E1019" s="675" t="s">
        <v>251</v>
      </c>
      <c r="F1019" s="620"/>
      <c r="G1019" s="713"/>
      <c r="H1019" s="620">
        <v>1</v>
      </c>
      <c r="I1019" s="716">
        <f>SUM(I1020:I1023)</f>
        <v>739.8</v>
      </c>
      <c r="J1019" s="716">
        <f>SUM(J1020:J1023)</f>
        <v>38.78</v>
      </c>
      <c r="K1019" s="736">
        <f>I1019+J1019</f>
        <v>778.57999999999993</v>
      </c>
      <c r="L1019" s="622">
        <f>H1019*I1019</f>
        <v>739.8</v>
      </c>
      <c r="M1019" s="622">
        <f>H1019*J1019</f>
        <v>38.78</v>
      </c>
      <c r="N1019" s="622">
        <f>L1019+M1019</f>
        <v>778.57999999999993</v>
      </c>
      <c r="O1019" s="622">
        <f>N1019*$P$4</f>
        <v>191.21924799999999</v>
      </c>
      <c r="P1019" s="622">
        <f>N1019+O1019</f>
        <v>969.79924799999992</v>
      </c>
      <c r="Q1019" s="609"/>
      <c r="R1019" s="609"/>
      <c r="S1019" s="609"/>
      <c r="T1019" s="609"/>
      <c r="U1019" s="609"/>
      <c r="V1019" s="609"/>
      <c r="W1019" s="609"/>
      <c r="X1019" s="609"/>
      <c r="Y1019" s="609"/>
      <c r="Z1019" s="609"/>
      <c r="AA1019" s="609"/>
      <c r="AB1019" s="609"/>
      <c r="AC1019" s="609"/>
      <c r="AD1019" s="609"/>
      <c r="AE1019" s="609"/>
      <c r="AF1019" s="609"/>
      <c r="AG1019" s="609"/>
      <c r="AH1019" s="609"/>
      <c r="AI1019" s="609"/>
      <c r="AJ1019" s="609"/>
      <c r="AK1019" s="609"/>
      <c r="AL1019" s="609"/>
      <c r="AM1019" s="609"/>
      <c r="AN1019" s="609"/>
      <c r="AO1019" s="609"/>
      <c r="AP1019" s="609"/>
      <c r="AQ1019" s="609"/>
      <c r="AR1019" s="609"/>
      <c r="AS1019" s="609"/>
      <c r="AT1019" s="609"/>
      <c r="AU1019" s="609"/>
      <c r="AV1019" s="609"/>
      <c r="AW1019" s="609"/>
      <c r="AX1019" s="609"/>
      <c r="AY1019" s="609"/>
      <c r="AZ1019" s="609"/>
      <c r="BA1019" s="609"/>
      <c r="BB1019" s="609"/>
      <c r="BC1019" s="609"/>
      <c r="BD1019" s="609"/>
      <c r="BE1019" s="609"/>
      <c r="BF1019" s="609"/>
      <c r="BG1019" s="609"/>
      <c r="BH1019" s="609"/>
      <c r="BI1019" s="609"/>
      <c r="BJ1019" s="609"/>
      <c r="BK1019" s="609"/>
      <c r="BL1019" s="609"/>
      <c r="BM1019" s="609"/>
      <c r="BN1019" s="609"/>
      <c r="BO1019" s="609"/>
      <c r="BP1019" s="609"/>
      <c r="BQ1019" s="609"/>
      <c r="BR1019" s="609"/>
      <c r="BS1019" s="609"/>
      <c r="BT1019" s="609"/>
      <c r="BU1019" s="609"/>
      <c r="BV1019" s="609"/>
      <c r="BW1019" s="609"/>
      <c r="BX1019" s="609"/>
      <c r="BY1019" s="609"/>
      <c r="BZ1019" s="609"/>
      <c r="CA1019" s="609"/>
      <c r="CB1019" s="609"/>
      <c r="CC1019" s="609"/>
      <c r="CD1019" s="609"/>
      <c r="CE1019" s="609"/>
      <c r="CF1019" s="609"/>
      <c r="CG1019" s="609"/>
      <c r="CH1019" s="609"/>
      <c r="CI1019" s="609"/>
      <c r="CJ1019" s="609"/>
      <c r="CK1019" s="609"/>
      <c r="CL1019" s="609"/>
      <c r="CM1019" s="609"/>
      <c r="CN1019" s="609"/>
      <c r="CO1019" s="609"/>
      <c r="CP1019" s="609"/>
      <c r="CQ1019" s="609"/>
      <c r="CR1019" s="609"/>
      <c r="CS1019" s="609"/>
      <c r="CT1019" s="609"/>
      <c r="CU1019" s="609"/>
      <c r="CV1019" s="609"/>
      <c r="CW1019" s="609"/>
      <c r="CX1019" s="609"/>
      <c r="CY1019" s="609"/>
      <c r="CZ1019" s="609"/>
      <c r="DA1019" s="609"/>
      <c r="DB1019" s="609"/>
      <c r="DC1019" s="609"/>
      <c r="DD1019" s="609"/>
      <c r="DE1019" s="609"/>
      <c r="DF1019" s="609"/>
      <c r="DG1019" s="609"/>
      <c r="DH1019" s="609"/>
      <c r="DI1019" s="609"/>
      <c r="DJ1019" s="609"/>
      <c r="DK1019" s="609"/>
      <c r="DL1019" s="609"/>
      <c r="DM1019" s="609"/>
      <c r="DN1019" s="609"/>
      <c r="DO1019" s="609"/>
      <c r="DP1019" s="609"/>
      <c r="DQ1019" s="609"/>
      <c r="DR1019" s="609"/>
      <c r="DS1019" s="609"/>
      <c r="DT1019" s="609"/>
      <c r="DU1019" s="609"/>
      <c r="DV1019" s="609"/>
      <c r="DW1019" s="609"/>
      <c r="DX1019" s="609"/>
      <c r="DY1019" s="609"/>
      <c r="DZ1019" s="609"/>
      <c r="EA1019" s="609"/>
      <c r="EB1019" s="609"/>
      <c r="EC1019" s="609"/>
      <c r="ED1019" s="609"/>
      <c r="EE1019" s="609"/>
      <c r="EF1019" s="609"/>
      <c r="EG1019" s="609"/>
      <c r="EH1019" s="609"/>
      <c r="EI1019" s="609"/>
      <c r="EJ1019" s="609"/>
      <c r="EK1019" s="609"/>
      <c r="EL1019" s="609"/>
      <c r="EM1019" s="609"/>
      <c r="EN1019" s="609"/>
      <c r="EO1019" s="609"/>
      <c r="EP1019" s="609"/>
      <c r="EQ1019" s="609"/>
      <c r="ER1019" s="609"/>
      <c r="ES1019" s="609"/>
      <c r="ET1019" s="609"/>
      <c r="EU1019" s="609"/>
      <c r="EV1019" s="609"/>
      <c r="EW1019" s="609"/>
      <c r="EX1019" s="609"/>
      <c r="EY1019" s="609"/>
      <c r="EZ1019" s="609"/>
      <c r="FA1019" s="609"/>
      <c r="FB1019" s="609"/>
      <c r="FC1019" s="609"/>
      <c r="FD1019" s="609"/>
      <c r="FE1019" s="609"/>
      <c r="FF1019" s="609"/>
      <c r="FG1019" s="609"/>
      <c r="FH1019" s="609"/>
      <c r="FI1019" s="609"/>
      <c r="FJ1019" s="609"/>
      <c r="FK1019" s="609"/>
      <c r="FL1019" s="609"/>
      <c r="FM1019" s="609"/>
      <c r="FN1019" s="609"/>
      <c r="FO1019" s="609"/>
      <c r="FP1019" s="609"/>
      <c r="FQ1019" s="609"/>
      <c r="FR1019" s="609"/>
      <c r="FS1019" s="609"/>
      <c r="FT1019" s="609"/>
      <c r="FU1019" s="609"/>
      <c r="FV1019" s="609"/>
      <c r="FW1019" s="609"/>
      <c r="FX1019" s="609"/>
      <c r="FY1019" s="609"/>
      <c r="FZ1019" s="609"/>
      <c r="GA1019" s="609"/>
      <c r="GB1019" s="609"/>
      <c r="GC1019" s="609"/>
      <c r="GD1019" s="609"/>
      <c r="GE1019" s="609"/>
      <c r="GF1019" s="609"/>
      <c r="GG1019" s="609"/>
      <c r="GH1019" s="609"/>
      <c r="GI1019" s="609"/>
      <c r="GJ1019" s="609"/>
      <c r="GK1019" s="609"/>
      <c r="GL1019" s="609"/>
      <c r="GM1019" s="609"/>
      <c r="GN1019" s="609"/>
      <c r="GO1019" s="609"/>
      <c r="GP1019" s="609"/>
      <c r="GQ1019" s="609"/>
      <c r="GR1019" s="609"/>
      <c r="GS1019" s="609"/>
      <c r="GT1019" s="609"/>
      <c r="GU1019" s="609"/>
      <c r="GV1019" s="609"/>
      <c r="GW1019" s="609"/>
      <c r="GX1019" s="609"/>
      <c r="GY1019" s="609"/>
      <c r="GZ1019" s="609"/>
      <c r="HA1019" s="609"/>
      <c r="HB1019" s="609"/>
      <c r="HC1019" s="609"/>
      <c r="HD1019" s="609"/>
      <c r="HE1019" s="609"/>
      <c r="HF1019" s="609"/>
      <c r="HG1019" s="609"/>
      <c r="HH1019" s="609"/>
      <c r="HI1019" s="609"/>
      <c r="HJ1019" s="609"/>
      <c r="HK1019" s="609"/>
      <c r="HL1019" s="609"/>
      <c r="HM1019" s="609"/>
      <c r="HN1019" s="609"/>
      <c r="HO1019" s="609"/>
      <c r="HP1019" s="609"/>
      <c r="HQ1019" s="609"/>
      <c r="HR1019" s="609"/>
      <c r="HS1019" s="609"/>
      <c r="HT1019" s="609"/>
      <c r="HU1019" s="609"/>
      <c r="HV1019" s="609"/>
      <c r="HW1019" s="609"/>
      <c r="HX1019" s="609"/>
      <c r="HY1019" s="609"/>
      <c r="HZ1019" s="609"/>
      <c r="IA1019" s="609"/>
      <c r="IB1019" s="609"/>
      <c r="IC1019" s="609"/>
      <c r="ID1019" s="609"/>
      <c r="IE1019" s="609"/>
      <c r="IF1019" s="609"/>
      <c r="IG1019" s="609"/>
      <c r="IH1019" s="609"/>
      <c r="II1019" s="609"/>
      <c r="IJ1019" s="609"/>
      <c r="IK1019" s="609"/>
      <c r="IL1019" s="609"/>
      <c r="IM1019" s="609"/>
      <c r="IN1019" s="609"/>
      <c r="IO1019" s="609"/>
      <c r="IP1019" s="609"/>
      <c r="IQ1019" s="609"/>
      <c r="IR1019" s="609"/>
      <c r="IS1019" s="609"/>
      <c r="IT1019" s="609"/>
      <c r="IU1019" s="609"/>
      <c r="IV1019" s="609"/>
    </row>
    <row r="1020" spans="1:256" s="642" customFormat="1" ht="36" x14ac:dyDescent="0.25">
      <c r="A1020" s="634" t="s">
        <v>1108</v>
      </c>
      <c r="B1020" s="679"/>
      <c r="C1020" s="634"/>
      <c r="D1020" s="693" t="s">
        <v>1740</v>
      </c>
      <c r="E1020" s="634" t="s">
        <v>251</v>
      </c>
      <c r="F1020" s="635">
        <v>1</v>
      </c>
      <c r="G1020" s="737">
        <v>739.8</v>
      </c>
      <c r="H1020" s="635"/>
      <c r="I1020" s="738">
        <f>ROUND(F1020*G1020,2)</f>
        <v>739.8</v>
      </c>
      <c r="J1020" s="738"/>
      <c r="K1020" s="738"/>
      <c r="L1020" s="738"/>
      <c r="M1020" s="738"/>
      <c r="N1020" s="738"/>
      <c r="O1020" s="738"/>
      <c r="P1020" s="738"/>
      <c r="Q1020" s="609"/>
      <c r="R1020" s="609"/>
      <c r="S1020" s="609"/>
      <c r="T1020" s="609"/>
      <c r="U1020" s="609"/>
      <c r="V1020" s="609"/>
      <c r="W1020" s="609"/>
      <c r="X1020" s="609"/>
      <c r="Y1020" s="609"/>
      <c r="Z1020" s="609"/>
      <c r="AA1020" s="609"/>
      <c r="AB1020" s="609"/>
      <c r="AC1020" s="609"/>
      <c r="AD1020" s="609"/>
      <c r="AE1020" s="609"/>
      <c r="AF1020" s="609"/>
      <c r="AG1020" s="609"/>
      <c r="AH1020" s="609"/>
      <c r="AI1020" s="609"/>
      <c r="AJ1020" s="609"/>
      <c r="AK1020" s="609"/>
      <c r="AL1020" s="609"/>
      <c r="AM1020" s="609"/>
      <c r="AN1020" s="609"/>
      <c r="AO1020" s="609"/>
      <c r="AP1020" s="609"/>
      <c r="AQ1020" s="609"/>
      <c r="AR1020" s="609"/>
      <c r="AS1020" s="609"/>
      <c r="AT1020" s="609"/>
      <c r="AU1020" s="609"/>
      <c r="AV1020" s="609"/>
      <c r="AW1020" s="609"/>
      <c r="AX1020" s="609"/>
      <c r="AY1020" s="609"/>
      <c r="AZ1020" s="609"/>
      <c r="BA1020" s="609"/>
      <c r="BB1020" s="609"/>
      <c r="BC1020" s="609"/>
      <c r="BD1020" s="609"/>
      <c r="BE1020" s="609"/>
      <c r="BF1020" s="609"/>
      <c r="BG1020" s="609"/>
      <c r="BH1020" s="609"/>
      <c r="BI1020" s="609"/>
      <c r="BJ1020" s="609"/>
      <c r="BK1020" s="609"/>
      <c r="BL1020" s="609"/>
      <c r="BM1020" s="609"/>
      <c r="BN1020" s="609"/>
      <c r="BO1020" s="609"/>
      <c r="BP1020" s="609"/>
      <c r="BQ1020" s="609"/>
      <c r="BR1020" s="609"/>
      <c r="BS1020" s="609"/>
      <c r="BT1020" s="609"/>
      <c r="BU1020" s="609"/>
      <c r="BV1020" s="609"/>
      <c r="BW1020" s="609"/>
      <c r="BX1020" s="609"/>
      <c r="BY1020" s="609"/>
      <c r="BZ1020" s="609"/>
      <c r="CA1020" s="609"/>
      <c r="CB1020" s="609"/>
      <c r="CC1020" s="609"/>
      <c r="CD1020" s="609"/>
      <c r="CE1020" s="609"/>
      <c r="CF1020" s="609"/>
      <c r="CG1020" s="609"/>
      <c r="CH1020" s="609"/>
      <c r="CI1020" s="609"/>
      <c r="CJ1020" s="609"/>
      <c r="CK1020" s="609"/>
      <c r="CL1020" s="609"/>
      <c r="CM1020" s="609"/>
      <c r="CN1020" s="609"/>
      <c r="CO1020" s="609"/>
      <c r="CP1020" s="609"/>
      <c r="CQ1020" s="609"/>
      <c r="CR1020" s="609"/>
      <c r="CS1020" s="609"/>
      <c r="CT1020" s="609"/>
      <c r="CU1020" s="609"/>
      <c r="CV1020" s="609"/>
      <c r="CW1020" s="609"/>
      <c r="CX1020" s="609"/>
      <c r="CY1020" s="609"/>
      <c r="CZ1020" s="609"/>
      <c r="DA1020" s="609"/>
      <c r="DB1020" s="609"/>
      <c r="DC1020" s="609"/>
      <c r="DD1020" s="609"/>
      <c r="DE1020" s="609"/>
      <c r="DF1020" s="609"/>
      <c r="DG1020" s="609"/>
      <c r="DH1020" s="609"/>
      <c r="DI1020" s="609"/>
      <c r="DJ1020" s="609"/>
      <c r="DK1020" s="609"/>
      <c r="DL1020" s="609"/>
      <c r="DM1020" s="609"/>
      <c r="DN1020" s="609"/>
      <c r="DO1020" s="609"/>
      <c r="DP1020" s="609"/>
      <c r="DQ1020" s="609"/>
      <c r="DR1020" s="609"/>
      <c r="DS1020" s="609"/>
      <c r="DT1020" s="609"/>
      <c r="DU1020" s="609"/>
      <c r="DV1020" s="609"/>
      <c r="DW1020" s="609"/>
      <c r="DX1020" s="609"/>
      <c r="DY1020" s="609"/>
      <c r="DZ1020" s="609"/>
      <c r="EA1020" s="609"/>
      <c r="EB1020" s="609"/>
      <c r="EC1020" s="609"/>
      <c r="ED1020" s="609"/>
      <c r="EE1020" s="609"/>
      <c r="EF1020" s="609"/>
      <c r="EG1020" s="609"/>
      <c r="EH1020" s="609"/>
      <c r="EI1020" s="609"/>
      <c r="EJ1020" s="609"/>
      <c r="EK1020" s="609"/>
      <c r="EL1020" s="609"/>
      <c r="EM1020" s="609"/>
      <c r="EN1020" s="609"/>
      <c r="EO1020" s="609"/>
      <c r="EP1020" s="609"/>
      <c r="EQ1020" s="609"/>
      <c r="ER1020" s="609"/>
      <c r="ES1020" s="609"/>
      <c r="ET1020" s="609"/>
      <c r="EU1020" s="609"/>
      <c r="EV1020" s="609"/>
      <c r="EW1020" s="609"/>
      <c r="EX1020" s="609"/>
      <c r="EY1020" s="609"/>
      <c r="EZ1020" s="609"/>
      <c r="FA1020" s="609"/>
      <c r="FB1020" s="609"/>
      <c r="FC1020" s="609"/>
      <c r="FD1020" s="609"/>
      <c r="FE1020" s="609"/>
      <c r="FF1020" s="609"/>
      <c r="FG1020" s="609"/>
      <c r="FH1020" s="609"/>
      <c r="FI1020" s="609"/>
      <c r="FJ1020" s="609"/>
      <c r="FK1020" s="609"/>
      <c r="FL1020" s="609"/>
      <c r="FM1020" s="609"/>
      <c r="FN1020" s="609"/>
      <c r="FO1020" s="609"/>
      <c r="FP1020" s="609"/>
      <c r="FQ1020" s="609"/>
      <c r="FR1020" s="609"/>
      <c r="FS1020" s="609"/>
      <c r="FT1020" s="609"/>
      <c r="FU1020" s="609"/>
      <c r="FV1020" s="609"/>
      <c r="FW1020" s="609"/>
      <c r="FX1020" s="609"/>
      <c r="FY1020" s="609"/>
      <c r="FZ1020" s="609"/>
      <c r="GA1020" s="609"/>
      <c r="GB1020" s="609"/>
      <c r="GC1020" s="609"/>
      <c r="GD1020" s="609"/>
      <c r="GE1020" s="609"/>
      <c r="GF1020" s="609"/>
      <c r="GG1020" s="609"/>
      <c r="GH1020" s="609"/>
      <c r="GI1020" s="609"/>
      <c r="GJ1020" s="609"/>
      <c r="GK1020" s="609"/>
      <c r="GL1020" s="609"/>
      <c r="GM1020" s="609"/>
      <c r="GN1020" s="609"/>
      <c r="GO1020" s="609"/>
      <c r="GP1020" s="609"/>
      <c r="GQ1020" s="609"/>
      <c r="GR1020" s="609"/>
      <c r="GS1020" s="609"/>
      <c r="GT1020" s="609"/>
      <c r="GU1020" s="609"/>
      <c r="GV1020" s="609"/>
      <c r="GW1020" s="609"/>
      <c r="GX1020" s="609"/>
      <c r="GY1020" s="609"/>
      <c r="GZ1020" s="609"/>
      <c r="HA1020" s="609"/>
      <c r="HB1020" s="609"/>
      <c r="HC1020" s="609"/>
      <c r="HD1020" s="609"/>
      <c r="HE1020" s="609"/>
      <c r="HF1020" s="609"/>
      <c r="HG1020" s="609"/>
      <c r="HH1020" s="609"/>
      <c r="HI1020" s="609"/>
      <c r="HJ1020" s="609"/>
      <c r="HK1020" s="609"/>
      <c r="HL1020" s="609"/>
      <c r="HM1020" s="609"/>
      <c r="HN1020" s="609"/>
      <c r="HO1020" s="609"/>
      <c r="HP1020" s="609"/>
      <c r="HQ1020" s="609"/>
      <c r="HR1020" s="609"/>
      <c r="HS1020" s="609"/>
      <c r="HT1020" s="609"/>
      <c r="HU1020" s="609"/>
      <c r="HV1020" s="609"/>
      <c r="HW1020" s="609"/>
      <c r="HX1020" s="609"/>
      <c r="HY1020" s="609"/>
      <c r="HZ1020" s="609"/>
      <c r="IA1020" s="609"/>
      <c r="IB1020" s="609"/>
      <c r="IC1020" s="609"/>
      <c r="ID1020" s="609"/>
      <c r="IE1020" s="609"/>
      <c r="IF1020" s="609"/>
      <c r="IG1020" s="609"/>
      <c r="IH1020" s="609"/>
      <c r="II1020" s="609"/>
      <c r="IJ1020" s="609"/>
      <c r="IK1020" s="609"/>
      <c r="IL1020" s="609"/>
      <c r="IM1020" s="609"/>
      <c r="IN1020" s="609"/>
      <c r="IO1020" s="609"/>
      <c r="IP1020" s="609"/>
      <c r="IQ1020" s="609"/>
      <c r="IR1020" s="609"/>
      <c r="IS1020" s="609"/>
      <c r="IT1020" s="609"/>
      <c r="IU1020" s="609"/>
      <c r="IV1020" s="609"/>
    </row>
    <row r="1021" spans="1:256" s="642" customFormat="1" x14ac:dyDescent="0.25">
      <c r="A1021" s="634"/>
      <c r="B1021" s="679"/>
      <c r="C1021" s="634"/>
      <c r="D1021" s="693" t="s">
        <v>1741</v>
      </c>
      <c r="E1021" s="634"/>
      <c r="F1021" s="635"/>
      <c r="G1021" s="739"/>
      <c r="H1021" s="635"/>
      <c r="I1021" s="738"/>
      <c r="J1021" s="738"/>
      <c r="K1021" s="738"/>
      <c r="L1021" s="738"/>
      <c r="M1021" s="738"/>
      <c r="N1021" s="738"/>
      <c r="O1021" s="738"/>
      <c r="P1021" s="738"/>
      <c r="Q1021" s="609"/>
      <c r="R1021" s="609"/>
      <c r="S1021" s="609"/>
      <c r="T1021" s="609"/>
      <c r="U1021" s="609"/>
      <c r="V1021" s="609"/>
      <c r="W1021" s="609"/>
      <c r="X1021" s="609"/>
      <c r="Y1021" s="609"/>
      <c r="Z1021" s="609"/>
      <c r="AA1021" s="609"/>
      <c r="AB1021" s="609"/>
      <c r="AC1021" s="609"/>
      <c r="AD1021" s="609"/>
      <c r="AE1021" s="609"/>
      <c r="AF1021" s="609"/>
      <c r="AG1021" s="609"/>
      <c r="AH1021" s="609"/>
      <c r="AI1021" s="609"/>
      <c r="AJ1021" s="609"/>
      <c r="AK1021" s="609"/>
      <c r="AL1021" s="609"/>
      <c r="AM1021" s="609"/>
      <c r="AN1021" s="609"/>
      <c r="AO1021" s="609"/>
      <c r="AP1021" s="609"/>
      <c r="AQ1021" s="609"/>
      <c r="AR1021" s="609"/>
      <c r="AS1021" s="609"/>
      <c r="AT1021" s="609"/>
      <c r="AU1021" s="609"/>
      <c r="AV1021" s="609"/>
      <c r="AW1021" s="609"/>
      <c r="AX1021" s="609"/>
      <c r="AY1021" s="609"/>
      <c r="AZ1021" s="609"/>
      <c r="BA1021" s="609"/>
      <c r="BB1021" s="609"/>
      <c r="BC1021" s="609"/>
      <c r="BD1021" s="609"/>
      <c r="BE1021" s="609"/>
      <c r="BF1021" s="609"/>
      <c r="BG1021" s="609"/>
      <c r="BH1021" s="609"/>
      <c r="BI1021" s="609"/>
      <c r="BJ1021" s="609"/>
      <c r="BK1021" s="609"/>
      <c r="BL1021" s="609"/>
      <c r="BM1021" s="609"/>
      <c r="BN1021" s="609"/>
      <c r="BO1021" s="609"/>
      <c r="BP1021" s="609"/>
      <c r="BQ1021" s="609"/>
      <c r="BR1021" s="609"/>
      <c r="BS1021" s="609"/>
      <c r="BT1021" s="609"/>
      <c r="BU1021" s="609"/>
      <c r="BV1021" s="609"/>
      <c r="BW1021" s="609"/>
      <c r="BX1021" s="609"/>
      <c r="BY1021" s="609"/>
      <c r="BZ1021" s="609"/>
      <c r="CA1021" s="609"/>
      <c r="CB1021" s="609"/>
      <c r="CC1021" s="609"/>
      <c r="CD1021" s="609"/>
      <c r="CE1021" s="609"/>
      <c r="CF1021" s="609"/>
      <c r="CG1021" s="609"/>
      <c r="CH1021" s="609"/>
      <c r="CI1021" s="609"/>
      <c r="CJ1021" s="609"/>
      <c r="CK1021" s="609"/>
      <c r="CL1021" s="609"/>
      <c r="CM1021" s="609"/>
      <c r="CN1021" s="609"/>
      <c r="CO1021" s="609"/>
      <c r="CP1021" s="609"/>
      <c r="CQ1021" s="609"/>
      <c r="CR1021" s="609"/>
      <c r="CS1021" s="609"/>
      <c r="CT1021" s="609"/>
      <c r="CU1021" s="609"/>
      <c r="CV1021" s="609"/>
      <c r="CW1021" s="609"/>
      <c r="CX1021" s="609"/>
      <c r="CY1021" s="609"/>
      <c r="CZ1021" s="609"/>
      <c r="DA1021" s="609"/>
      <c r="DB1021" s="609"/>
      <c r="DC1021" s="609"/>
      <c r="DD1021" s="609"/>
      <c r="DE1021" s="609"/>
      <c r="DF1021" s="609"/>
      <c r="DG1021" s="609"/>
      <c r="DH1021" s="609"/>
      <c r="DI1021" s="609"/>
      <c r="DJ1021" s="609"/>
      <c r="DK1021" s="609"/>
      <c r="DL1021" s="609"/>
      <c r="DM1021" s="609"/>
      <c r="DN1021" s="609"/>
      <c r="DO1021" s="609"/>
      <c r="DP1021" s="609"/>
      <c r="DQ1021" s="609"/>
      <c r="DR1021" s="609"/>
      <c r="DS1021" s="609"/>
      <c r="DT1021" s="609"/>
      <c r="DU1021" s="609"/>
      <c r="DV1021" s="609"/>
      <c r="DW1021" s="609"/>
      <c r="DX1021" s="609"/>
      <c r="DY1021" s="609"/>
      <c r="DZ1021" s="609"/>
      <c r="EA1021" s="609"/>
      <c r="EB1021" s="609"/>
      <c r="EC1021" s="609"/>
      <c r="ED1021" s="609"/>
      <c r="EE1021" s="609"/>
      <c r="EF1021" s="609"/>
      <c r="EG1021" s="609"/>
      <c r="EH1021" s="609"/>
      <c r="EI1021" s="609"/>
      <c r="EJ1021" s="609"/>
      <c r="EK1021" s="609"/>
      <c r="EL1021" s="609"/>
      <c r="EM1021" s="609"/>
      <c r="EN1021" s="609"/>
      <c r="EO1021" s="609"/>
      <c r="EP1021" s="609"/>
      <c r="EQ1021" s="609"/>
      <c r="ER1021" s="609"/>
      <c r="ES1021" s="609"/>
      <c r="ET1021" s="609"/>
      <c r="EU1021" s="609"/>
      <c r="EV1021" s="609"/>
      <c r="EW1021" s="609"/>
      <c r="EX1021" s="609"/>
      <c r="EY1021" s="609"/>
      <c r="EZ1021" s="609"/>
      <c r="FA1021" s="609"/>
      <c r="FB1021" s="609"/>
      <c r="FC1021" s="609"/>
      <c r="FD1021" s="609"/>
      <c r="FE1021" s="609"/>
      <c r="FF1021" s="609"/>
      <c r="FG1021" s="609"/>
      <c r="FH1021" s="609"/>
      <c r="FI1021" s="609"/>
      <c r="FJ1021" s="609"/>
      <c r="FK1021" s="609"/>
      <c r="FL1021" s="609"/>
      <c r="FM1021" s="609"/>
      <c r="FN1021" s="609"/>
      <c r="FO1021" s="609"/>
      <c r="FP1021" s="609"/>
      <c r="FQ1021" s="609"/>
      <c r="FR1021" s="609"/>
      <c r="FS1021" s="609"/>
      <c r="FT1021" s="609"/>
      <c r="FU1021" s="609"/>
      <c r="FV1021" s="609"/>
      <c r="FW1021" s="609"/>
      <c r="FX1021" s="609"/>
      <c r="FY1021" s="609"/>
      <c r="FZ1021" s="609"/>
      <c r="GA1021" s="609"/>
      <c r="GB1021" s="609"/>
      <c r="GC1021" s="609"/>
      <c r="GD1021" s="609"/>
      <c r="GE1021" s="609"/>
      <c r="GF1021" s="609"/>
      <c r="GG1021" s="609"/>
      <c r="GH1021" s="609"/>
      <c r="GI1021" s="609"/>
      <c r="GJ1021" s="609"/>
      <c r="GK1021" s="609"/>
      <c r="GL1021" s="609"/>
      <c r="GM1021" s="609"/>
      <c r="GN1021" s="609"/>
      <c r="GO1021" s="609"/>
      <c r="GP1021" s="609"/>
      <c r="GQ1021" s="609"/>
      <c r="GR1021" s="609"/>
      <c r="GS1021" s="609"/>
      <c r="GT1021" s="609"/>
      <c r="GU1021" s="609"/>
      <c r="GV1021" s="609"/>
      <c r="GW1021" s="609"/>
      <c r="GX1021" s="609"/>
      <c r="GY1021" s="609"/>
      <c r="GZ1021" s="609"/>
      <c r="HA1021" s="609"/>
      <c r="HB1021" s="609"/>
      <c r="HC1021" s="609"/>
      <c r="HD1021" s="609"/>
      <c r="HE1021" s="609"/>
      <c r="HF1021" s="609"/>
      <c r="HG1021" s="609"/>
      <c r="HH1021" s="609"/>
      <c r="HI1021" s="609"/>
      <c r="HJ1021" s="609"/>
      <c r="HK1021" s="609"/>
      <c r="HL1021" s="609"/>
      <c r="HM1021" s="609"/>
      <c r="HN1021" s="609"/>
      <c r="HO1021" s="609"/>
      <c r="HP1021" s="609"/>
      <c r="HQ1021" s="609"/>
      <c r="HR1021" s="609"/>
      <c r="HS1021" s="609"/>
      <c r="HT1021" s="609"/>
      <c r="HU1021" s="609"/>
      <c r="HV1021" s="609"/>
      <c r="HW1021" s="609"/>
      <c r="HX1021" s="609"/>
      <c r="HY1021" s="609"/>
      <c r="HZ1021" s="609"/>
      <c r="IA1021" s="609"/>
      <c r="IB1021" s="609"/>
      <c r="IC1021" s="609"/>
      <c r="ID1021" s="609"/>
      <c r="IE1021" s="609"/>
      <c r="IF1021" s="609"/>
      <c r="IG1021" s="609"/>
      <c r="IH1021" s="609"/>
      <c r="II1021" s="609"/>
      <c r="IJ1021" s="609"/>
      <c r="IK1021" s="609"/>
      <c r="IL1021" s="609"/>
      <c r="IM1021" s="609"/>
      <c r="IN1021" s="609"/>
      <c r="IO1021" s="609"/>
      <c r="IP1021" s="609"/>
      <c r="IQ1021" s="609"/>
      <c r="IR1021" s="609"/>
      <c r="IS1021" s="609"/>
      <c r="IT1021" s="609"/>
      <c r="IU1021" s="609"/>
      <c r="IV1021" s="609"/>
    </row>
    <row r="1022" spans="1:256" s="642" customFormat="1" x14ac:dyDescent="0.25">
      <c r="A1022" s="634" t="s">
        <v>277</v>
      </c>
      <c r="B1022" s="634">
        <v>2439</v>
      </c>
      <c r="C1022" s="634"/>
      <c r="D1022" s="635" t="s">
        <v>1707</v>
      </c>
      <c r="E1022" s="634" t="s">
        <v>229</v>
      </c>
      <c r="F1022" s="635">
        <v>1.5</v>
      </c>
      <c r="G1022" s="681">
        <v>16.2</v>
      </c>
      <c r="H1022" s="635"/>
      <c r="I1022" s="738"/>
      <c r="J1022" s="738">
        <f>ROUND(F1022*G1022,2)</f>
        <v>24.3</v>
      </c>
      <c r="K1022" s="738"/>
      <c r="L1022" s="738"/>
      <c r="M1022" s="738"/>
      <c r="N1022" s="738"/>
      <c r="O1022" s="738"/>
      <c r="P1022" s="738"/>
    </row>
    <row r="1023" spans="1:256" s="642" customFormat="1" x14ac:dyDescent="0.25">
      <c r="A1023" s="634" t="s">
        <v>277</v>
      </c>
      <c r="B1023" s="634">
        <v>247</v>
      </c>
      <c r="C1023" s="634"/>
      <c r="D1023" s="635" t="s">
        <v>1070</v>
      </c>
      <c r="E1023" s="634" t="s">
        <v>229</v>
      </c>
      <c r="F1023" s="635">
        <v>1.5</v>
      </c>
      <c r="G1023" s="681">
        <v>9.65</v>
      </c>
      <c r="H1023" s="635"/>
      <c r="I1023" s="738"/>
      <c r="J1023" s="738">
        <f>ROUND(F1023*G1023,2)</f>
        <v>14.48</v>
      </c>
      <c r="K1023" s="738"/>
      <c r="L1023" s="738"/>
      <c r="M1023" s="738"/>
      <c r="N1023" s="738"/>
      <c r="O1023" s="738"/>
      <c r="P1023" s="738"/>
    </row>
    <row r="1024" spans="1:256" s="642" customFormat="1" x14ac:dyDescent="0.25">
      <c r="A1024" s="675"/>
      <c r="B1024" s="675"/>
      <c r="C1024" s="675" t="s">
        <v>1742</v>
      </c>
      <c r="D1024" s="620" t="s">
        <v>1743</v>
      </c>
      <c r="E1024" s="675" t="s">
        <v>251</v>
      </c>
      <c r="F1024" s="620"/>
      <c r="G1024" s="622"/>
      <c r="H1024" s="620">
        <v>2</v>
      </c>
      <c r="I1024" s="677">
        <f>SUM(I1025:I1027)</f>
        <v>579.79999999999995</v>
      </c>
      <c r="J1024" s="677">
        <f>SUM(J1025:J1027)</f>
        <v>25.85</v>
      </c>
      <c r="K1024" s="665">
        <f>I1024+J1024</f>
        <v>605.65</v>
      </c>
      <c r="L1024" s="622">
        <f>H1024*I1024</f>
        <v>1159.5999999999999</v>
      </c>
      <c r="M1024" s="622">
        <f>H1024*J1024</f>
        <v>51.7</v>
      </c>
      <c r="N1024" s="622">
        <f>L1024+M1024</f>
        <v>1211.3</v>
      </c>
      <c r="O1024" s="622">
        <f>N1024*$P$4</f>
        <v>297.49527999999998</v>
      </c>
      <c r="P1024" s="622">
        <f>N1024+O1024</f>
        <v>1508.7952799999998</v>
      </c>
      <c r="Q1024" s="609"/>
      <c r="R1024" s="609"/>
      <c r="S1024" s="609"/>
      <c r="T1024" s="609"/>
      <c r="U1024" s="609"/>
      <c r="V1024" s="609"/>
      <c r="W1024" s="609"/>
      <c r="X1024" s="609"/>
      <c r="Y1024" s="609"/>
      <c r="Z1024" s="609"/>
      <c r="AA1024" s="609"/>
      <c r="AB1024" s="609"/>
      <c r="AC1024" s="609"/>
      <c r="AD1024" s="609"/>
      <c r="AE1024" s="609"/>
      <c r="AF1024" s="609"/>
      <c r="AG1024" s="609"/>
      <c r="AH1024" s="609"/>
      <c r="AI1024" s="609"/>
      <c r="AJ1024" s="609"/>
      <c r="AK1024" s="609"/>
      <c r="AL1024" s="609"/>
      <c r="AM1024" s="609"/>
      <c r="AN1024" s="609"/>
      <c r="AO1024" s="609"/>
      <c r="AP1024" s="609"/>
      <c r="AQ1024" s="609"/>
      <c r="AR1024" s="609"/>
      <c r="AS1024" s="609"/>
      <c r="AT1024" s="609"/>
      <c r="AU1024" s="609"/>
      <c r="AV1024" s="609"/>
      <c r="AW1024" s="609"/>
      <c r="AX1024" s="609"/>
      <c r="AY1024" s="609"/>
      <c r="AZ1024" s="609"/>
      <c r="BA1024" s="609"/>
      <c r="BB1024" s="609"/>
      <c r="BC1024" s="609"/>
      <c r="BD1024" s="609"/>
      <c r="BE1024" s="609"/>
      <c r="BF1024" s="609"/>
      <c r="BG1024" s="609"/>
      <c r="BH1024" s="609"/>
      <c r="BI1024" s="609"/>
      <c r="BJ1024" s="609"/>
      <c r="BK1024" s="609"/>
      <c r="BL1024" s="609"/>
      <c r="BM1024" s="609"/>
      <c r="BN1024" s="609"/>
      <c r="BO1024" s="609"/>
      <c r="BP1024" s="609"/>
      <c r="BQ1024" s="609"/>
      <c r="BR1024" s="609"/>
      <c r="BS1024" s="609"/>
      <c r="BT1024" s="609"/>
      <c r="BU1024" s="609"/>
      <c r="BV1024" s="609"/>
      <c r="BW1024" s="609"/>
      <c r="BX1024" s="609"/>
      <c r="BY1024" s="609"/>
      <c r="BZ1024" s="609"/>
      <c r="CA1024" s="609"/>
      <c r="CB1024" s="609"/>
      <c r="CC1024" s="609"/>
      <c r="CD1024" s="609"/>
      <c r="CE1024" s="609"/>
      <c r="CF1024" s="609"/>
      <c r="CG1024" s="609"/>
      <c r="CH1024" s="609"/>
      <c r="CI1024" s="609"/>
      <c r="CJ1024" s="609"/>
      <c r="CK1024" s="609"/>
      <c r="CL1024" s="609"/>
      <c r="CM1024" s="609"/>
      <c r="CN1024" s="609"/>
      <c r="CO1024" s="609"/>
      <c r="CP1024" s="609"/>
      <c r="CQ1024" s="609"/>
      <c r="CR1024" s="609"/>
      <c r="CS1024" s="609"/>
      <c r="CT1024" s="609"/>
      <c r="CU1024" s="609"/>
      <c r="CV1024" s="609"/>
      <c r="CW1024" s="609"/>
      <c r="CX1024" s="609"/>
      <c r="CY1024" s="609"/>
      <c r="CZ1024" s="609"/>
      <c r="DA1024" s="609"/>
      <c r="DB1024" s="609"/>
      <c r="DC1024" s="609"/>
      <c r="DD1024" s="609"/>
      <c r="DE1024" s="609"/>
      <c r="DF1024" s="609"/>
      <c r="DG1024" s="609"/>
      <c r="DH1024" s="609"/>
      <c r="DI1024" s="609"/>
      <c r="DJ1024" s="609"/>
      <c r="DK1024" s="609"/>
      <c r="DL1024" s="609"/>
      <c r="DM1024" s="609"/>
      <c r="DN1024" s="609"/>
      <c r="DO1024" s="609"/>
      <c r="DP1024" s="609"/>
      <c r="DQ1024" s="609"/>
      <c r="DR1024" s="609"/>
      <c r="DS1024" s="609"/>
      <c r="DT1024" s="609"/>
      <c r="DU1024" s="609"/>
      <c r="DV1024" s="609"/>
      <c r="DW1024" s="609"/>
      <c r="DX1024" s="609"/>
      <c r="DY1024" s="609"/>
      <c r="DZ1024" s="609"/>
      <c r="EA1024" s="609"/>
      <c r="EB1024" s="609"/>
      <c r="EC1024" s="609"/>
      <c r="ED1024" s="609"/>
      <c r="EE1024" s="609"/>
      <c r="EF1024" s="609"/>
      <c r="EG1024" s="609"/>
      <c r="EH1024" s="609"/>
      <c r="EI1024" s="609"/>
      <c r="EJ1024" s="609"/>
      <c r="EK1024" s="609"/>
      <c r="EL1024" s="609"/>
      <c r="EM1024" s="609"/>
      <c r="EN1024" s="609"/>
      <c r="EO1024" s="609"/>
      <c r="EP1024" s="609"/>
      <c r="EQ1024" s="609"/>
      <c r="ER1024" s="609"/>
      <c r="ES1024" s="609"/>
      <c r="ET1024" s="609"/>
      <c r="EU1024" s="609"/>
      <c r="EV1024" s="609"/>
      <c r="EW1024" s="609"/>
      <c r="EX1024" s="609"/>
      <c r="EY1024" s="609"/>
      <c r="EZ1024" s="609"/>
      <c r="FA1024" s="609"/>
      <c r="FB1024" s="609"/>
      <c r="FC1024" s="609"/>
      <c r="FD1024" s="609"/>
      <c r="FE1024" s="609"/>
      <c r="FF1024" s="609"/>
      <c r="FG1024" s="609"/>
      <c r="FH1024" s="609"/>
      <c r="FI1024" s="609"/>
      <c r="FJ1024" s="609"/>
      <c r="FK1024" s="609"/>
      <c r="FL1024" s="609"/>
      <c r="FM1024" s="609"/>
      <c r="FN1024" s="609"/>
      <c r="FO1024" s="609"/>
      <c r="FP1024" s="609"/>
      <c r="FQ1024" s="609"/>
      <c r="FR1024" s="609"/>
      <c r="FS1024" s="609"/>
      <c r="FT1024" s="609"/>
      <c r="FU1024" s="609"/>
      <c r="FV1024" s="609"/>
      <c r="FW1024" s="609"/>
      <c r="FX1024" s="609"/>
      <c r="FY1024" s="609"/>
      <c r="FZ1024" s="609"/>
      <c r="GA1024" s="609"/>
      <c r="GB1024" s="609"/>
      <c r="GC1024" s="609"/>
      <c r="GD1024" s="609"/>
      <c r="GE1024" s="609"/>
      <c r="GF1024" s="609"/>
      <c r="GG1024" s="609"/>
      <c r="GH1024" s="609"/>
      <c r="GI1024" s="609"/>
      <c r="GJ1024" s="609"/>
      <c r="GK1024" s="609"/>
      <c r="GL1024" s="609"/>
      <c r="GM1024" s="609"/>
      <c r="GN1024" s="609"/>
      <c r="GO1024" s="609"/>
      <c r="GP1024" s="609"/>
      <c r="GQ1024" s="609"/>
      <c r="GR1024" s="609"/>
      <c r="GS1024" s="609"/>
      <c r="GT1024" s="609"/>
      <c r="GU1024" s="609"/>
      <c r="GV1024" s="609"/>
      <c r="GW1024" s="609"/>
      <c r="GX1024" s="609"/>
      <c r="GY1024" s="609"/>
      <c r="GZ1024" s="609"/>
      <c r="HA1024" s="609"/>
      <c r="HB1024" s="609"/>
      <c r="HC1024" s="609"/>
      <c r="HD1024" s="609"/>
      <c r="HE1024" s="609"/>
      <c r="HF1024" s="609"/>
      <c r="HG1024" s="609"/>
      <c r="HH1024" s="609"/>
      <c r="HI1024" s="609"/>
      <c r="HJ1024" s="609"/>
      <c r="HK1024" s="609"/>
      <c r="HL1024" s="609"/>
      <c r="HM1024" s="609"/>
      <c r="HN1024" s="609"/>
      <c r="HO1024" s="609"/>
      <c r="HP1024" s="609"/>
      <c r="HQ1024" s="609"/>
      <c r="HR1024" s="609"/>
      <c r="HS1024" s="609"/>
      <c r="HT1024" s="609"/>
      <c r="HU1024" s="609"/>
      <c r="HV1024" s="609"/>
      <c r="HW1024" s="609"/>
      <c r="HX1024" s="609"/>
      <c r="HY1024" s="609"/>
      <c r="HZ1024" s="609"/>
      <c r="IA1024" s="609"/>
      <c r="IB1024" s="609"/>
      <c r="IC1024" s="609"/>
      <c r="ID1024" s="609"/>
      <c r="IE1024" s="609"/>
      <c r="IF1024" s="609"/>
      <c r="IG1024" s="609"/>
      <c r="IH1024" s="609"/>
      <c r="II1024" s="609"/>
      <c r="IJ1024" s="609"/>
      <c r="IK1024" s="609"/>
      <c r="IL1024" s="609"/>
      <c r="IM1024" s="609"/>
      <c r="IN1024" s="609"/>
      <c r="IO1024" s="609"/>
      <c r="IP1024" s="609"/>
      <c r="IQ1024" s="609"/>
      <c r="IR1024" s="609"/>
      <c r="IS1024" s="609"/>
      <c r="IT1024" s="609"/>
      <c r="IU1024" s="609"/>
      <c r="IV1024" s="609"/>
    </row>
    <row r="1025" spans="1:256" s="721" customFormat="1" ht="36" x14ac:dyDescent="0.25">
      <c r="A1025" s="692" t="s">
        <v>1108</v>
      </c>
      <c r="B1025" s="679"/>
      <c r="C1025" s="725"/>
      <c r="D1025" s="726" t="s">
        <v>1744</v>
      </c>
      <c r="E1025" s="725" t="s">
        <v>251</v>
      </c>
      <c r="F1025" s="625">
        <v>1</v>
      </c>
      <c r="G1025" s="694">
        <v>579.79999999999995</v>
      </c>
      <c r="H1025" s="625"/>
      <c r="I1025" s="728">
        <f>ROUND(F1025*G1025,2)</f>
        <v>579.79999999999995</v>
      </c>
      <c r="J1025" s="728"/>
      <c r="K1025" s="728"/>
      <c r="L1025" s="728"/>
      <c r="M1025" s="728"/>
      <c r="N1025" s="728"/>
      <c r="O1025" s="728"/>
      <c r="P1025" s="728"/>
      <c r="Q1025" s="652"/>
      <c r="R1025" s="652"/>
      <c r="S1025" s="652"/>
      <c r="T1025" s="652"/>
      <c r="U1025" s="652"/>
      <c r="V1025" s="652"/>
      <c r="W1025" s="652"/>
      <c r="X1025" s="652"/>
      <c r="Y1025" s="652"/>
      <c r="Z1025" s="652"/>
      <c r="AA1025" s="652"/>
      <c r="AB1025" s="652"/>
      <c r="AC1025" s="652"/>
      <c r="AD1025" s="652"/>
      <c r="AE1025" s="652"/>
      <c r="AF1025" s="652"/>
      <c r="AG1025" s="652"/>
      <c r="AH1025" s="652"/>
      <c r="AI1025" s="652"/>
      <c r="AJ1025" s="652"/>
      <c r="AK1025" s="652"/>
      <c r="AL1025" s="652"/>
      <c r="AM1025" s="652"/>
      <c r="AN1025" s="652"/>
      <c r="AO1025" s="652"/>
      <c r="AP1025" s="652"/>
      <c r="AQ1025" s="652"/>
      <c r="AR1025" s="652"/>
      <c r="AS1025" s="652"/>
      <c r="AT1025" s="652"/>
      <c r="AU1025" s="652"/>
      <c r="AV1025" s="652"/>
      <c r="AW1025" s="652"/>
      <c r="AX1025" s="652"/>
      <c r="AY1025" s="652"/>
      <c r="AZ1025" s="652"/>
      <c r="BA1025" s="652"/>
      <c r="BB1025" s="652"/>
      <c r="BC1025" s="652"/>
      <c r="BD1025" s="652"/>
      <c r="BE1025" s="652"/>
      <c r="BF1025" s="652"/>
      <c r="BG1025" s="652"/>
      <c r="BH1025" s="652"/>
      <c r="BI1025" s="652"/>
      <c r="BJ1025" s="652"/>
      <c r="BK1025" s="652"/>
      <c r="BL1025" s="652"/>
      <c r="BM1025" s="652"/>
      <c r="BN1025" s="652"/>
      <c r="BO1025" s="652"/>
      <c r="BP1025" s="652"/>
      <c r="BQ1025" s="652"/>
      <c r="BR1025" s="652"/>
      <c r="BS1025" s="652"/>
      <c r="BT1025" s="652"/>
      <c r="BU1025" s="652"/>
      <c r="BV1025" s="652"/>
      <c r="BW1025" s="652"/>
      <c r="BX1025" s="652"/>
      <c r="BY1025" s="652"/>
      <c r="BZ1025" s="652"/>
      <c r="CA1025" s="652"/>
      <c r="CB1025" s="652"/>
      <c r="CC1025" s="652"/>
      <c r="CD1025" s="652"/>
      <c r="CE1025" s="652"/>
      <c r="CF1025" s="652"/>
      <c r="CG1025" s="652"/>
      <c r="CH1025" s="652"/>
      <c r="CI1025" s="652"/>
      <c r="CJ1025" s="652"/>
      <c r="CK1025" s="652"/>
      <c r="CL1025" s="652"/>
      <c r="CM1025" s="652"/>
      <c r="CN1025" s="652"/>
      <c r="CO1025" s="652"/>
      <c r="CP1025" s="652"/>
      <c r="CQ1025" s="652"/>
      <c r="CR1025" s="652"/>
      <c r="CS1025" s="652"/>
      <c r="CT1025" s="652"/>
      <c r="CU1025" s="652"/>
      <c r="CV1025" s="652"/>
      <c r="CW1025" s="652"/>
      <c r="CX1025" s="652"/>
      <c r="CY1025" s="652"/>
      <c r="CZ1025" s="652"/>
      <c r="DA1025" s="652"/>
      <c r="DB1025" s="652"/>
      <c r="DC1025" s="652"/>
      <c r="DD1025" s="652"/>
      <c r="DE1025" s="652"/>
      <c r="DF1025" s="652"/>
      <c r="DG1025" s="652"/>
      <c r="DH1025" s="652"/>
      <c r="DI1025" s="652"/>
      <c r="DJ1025" s="652"/>
      <c r="DK1025" s="652"/>
      <c r="DL1025" s="652"/>
      <c r="DM1025" s="652"/>
      <c r="DN1025" s="652"/>
      <c r="DO1025" s="652"/>
      <c r="DP1025" s="652"/>
      <c r="DQ1025" s="652"/>
      <c r="DR1025" s="652"/>
      <c r="DS1025" s="652"/>
      <c r="DT1025" s="652"/>
      <c r="DU1025" s="652"/>
      <c r="DV1025" s="652"/>
      <c r="DW1025" s="652"/>
      <c r="DX1025" s="652"/>
      <c r="DY1025" s="652"/>
      <c r="DZ1025" s="652"/>
      <c r="EA1025" s="652"/>
      <c r="EB1025" s="652"/>
      <c r="EC1025" s="652"/>
      <c r="ED1025" s="652"/>
      <c r="EE1025" s="652"/>
      <c r="EF1025" s="652"/>
      <c r="EG1025" s="652"/>
      <c r="EH1025" s="652"/>
      <c r="EI1025" s="652"/>
      <c r="EJ1025" s="652"/>
      <c r="EK1025" s="652"/>
      <c r="EL1025" s="652"/>
      <c r="EM1025" s="652"/>
      <c r="EN1025" s="652"/>
      <c r="EO1025" s="652"/>
      <c r="EP1025" s="652"/>
      <c r="EQ1025" s="652"/>
      <c r="ER1025" s="652"/>
      <c r="ES1025" s="652"/>
      <c r="ET1025" s="652"/>
      <c r="EU1025" s="652"/>
      <c r="EV1025" s="652"/>
      <c r="EW1025" s="652"/>
      <c r="EX1025" s="652"/>
      <c r="EY1025" s="652"/>
      <c r="EZ1025" s="652"/>
      <c r="FA1025" s="652"/>
      <c r="FB1025" s="652"/>
      <c r="FC1025" s="652"/>
      <c r="FD1025" s="652"/>
      <c r="FE1025" s="652"/>
      <c r="FF1025" s="652"/>
      <c r="FG1025" s="652"/>
      <c r="FH1025" s="652"/>
      <c r="FI1025" s="652"/>
      <c r="FJ1025" s="652"/>
      <c r="FK1025" s="652"/>
      <c r="FL1025" s="652"/>
      <c r="FM1025" s="652"/>
      <c r="FN1025" s="652"/>
      <c r="FO1025" s="652"/>
      <c r="FP1025" s="652"/>
      <c r="FQ1025" s="652"/>
      <c r="FR1025" s="652"/>
      <c r="FS1025" s="652"/>
      <c r="FT1025" s="652"/>
      <c r="FU1025" s="652"/>
      <c r="FV1025" s="652"/>
      <c r="FW1025" s="652"/>
      <c r="FX1025" s="652"/>
      <c r="FY1025" s="652"/>
      <c r="FZ1025" s="652"/>
      <c r="GA1025" s="652"/>
      <c r="GB1025" s="652"/>
      <c r="GC1025" s="652"/>
      <c r="GD1025" s="652"/>
      <c r="GE1025" s="652"/>
      <c r="GF1025" s="652"/>
      <c r="GG1025" s="652"/>
      <c r="GH1025" s="652"/>
      <c r="GI1025" s="652"/>
      <c r="GJ1025" s="652"/>
      <c r="GK1025" s="652"/>
      <c r="GL1025" s="652"/>
      <c r="GM1025" s="652"/>
      <c r="GN1025" s="652"/>
      <c r="GO1025" s="652"/>
      <c r="GP1025" s="652"/>
      <c r="GQ1025" s="652"/>
      <c r="GR1025" s="652"/>
      <c r="GS1025" s="652"/>
      <c r="GT1025" s="652"/>
      <c r="GU1025" s="652"/>
      <c r="GV1025" s="652"/>
      <c r="GW1025" s="652"/>
      <c r="GX1025" s="652"/>
      <c r="GY1025" s="652"/>
      <c r="GZ1025" s="652"/>
      <c r="HA1025" s="652"/>
      <c r="HB1025" s="652"/>
      <c r="HC1025" s="652"/>
      <c r="HD1025" s="652"/>
      <c r="HE1025" s="652"/>
      <c r="HF1025" s="652"/>
      <c r="HG1025" s="652"/>
      <c r="HH1025" s="652"/>
      <c r="HI1025" s="652"/>
      <c r="HJ1025" s="652"/>
      <c r="HK1025" s="652"/>
      <c r="HL1025" s="652"/>
      <c r="HM1025" s="652"/>
      <c r="HN1025" s="652"/>
      <c r="HO1025" s="652"/>
      <c r="HP1025" s="652"/>
      <c r="HQ1025" s="652"/>
      <c r="HR1025" s="652"/>
      <c r="HS1025" s="652"/>
      <c r="HT1025" s="652"/>
      <c r="HU1025" s="652"/>
      <c r="HV1025" s="652"/>
      <c r="HW1025" s="652"/>
      <c r="HX1025" s="652"/>
      <c r="HY1025" s="652"/>
      <c r="HZ1025" s="652"/>
      <c r="IA1025" s="652"/>
      <c r="IB1025" s="652"/>
      <c r="IC1025" s="652"/>
      <c r="ID1025" s="652"/>
      <c r="IE1025" s="652"/>
      <c r="IF1025" s="652"/>
      <c r="IG1025" s="652"/>
      <c r="IH1025" s="652"/>
      <c r="II1025" s="652"/>
      <c r="IJ1025" s="652"/>
      <c r="IK1025" s="652"/>
      <c r="IL1025" s="652"/>
      <c r="IM1025" s="652"/>
      <c r="IN1025" s="652"/>
      <c r="IO1025" s="652"/>
      <c r="IP1025" s="652"/>
      <c r="IQ1025" s="652"/>
      <c r="IR1025" s="652"/>
      <c r="IS1025" s="652"/>
      <c r="IT1025" s="652"/>
      <c r="IU1025" s="652"/>
      <c r="IV1025" s="652"/>
    </row>
    <row r="1026" spans="1:256" s="642" customFormat="1" x14ac:dyDescent="0.25">
      <c r="A1026" s="634" t="s">
        <v>277</v>
      </c>
      <c r="B1026" s="634">
        <v>2439</v>
      </c>
      <c r="C1026" s="634"/>
      <c r="D1026" s="635" t="s">
        <v>1707</v>
      </c>
      <c r="E1026" s="636" t="s">
        <v>229</v>
      </c>
      <c r="F1026" s="612">
        <v>1</v>
      </c>
      <c r="G1026" s="681">
        <v>16.2</v>
      </c>
      <c r="H1026" s="612"/>
      <c r="I1026" s="695"/>
      <c r="J1026" s="695">
        <f>ROUND(F1026*G1026,2)</f>
        <v>16.2</v>
      </c>
      <c r="K1026" s="695"/>
      <c r="L1026" s="695"/>
      <c r="M1026" s="695"/>
      <c r="N1026" s="695"/>
      <c r="O1026" s="695"/>
      <c r="P1026" s="695"/>
      <c r="Q1026" s="609"/>
      <c r="R1026" s="609"/>
      <c r="S1026" s="609"/>
      <c r="T1026" s="609"/>
      <c r="U1026" s="609"/>
      <c r="V1026" s="609"/>
      <c r="W1026" s="609"/>
      <c r="X1026" s="609"/>
      <c r="Y1026" s="609"/>
      <c r="Z1026" s="609"/>
      <c r="AA1026" s="609"/>
      <c r="AB1026" s="609"/>
      <c r="AC1026" s="609"/>
      <c r="AD1026" s="609"/>
      <c r="AE1026" s="609"/>
      <c r="AF1026" s="609"/>
      <c r="AG1026" s="609"/>
      <c r="AH1026" s="609"/>
      <c r="AI1026" s="609"/>
      <c r="AJ1026" s="609"/>
      <c r="AK1026" s="609"/>
      <c r="AL1026" s="609"/>
      <c r="AM1026" s="609"/>
      <c r="AN1026" s="609"/>
      <c r="AO1026" s="609"/>
      <c r="AP1026" s="609"/>
      <c r="AQ1026" s="609"/>
      <c r="AR1026" s="609"/>
      <c r="AS1026" s="609"/>
      <c r="AT1026" s="609"/>
      <c r="AU1026" s="609"/>
      <c r="AV1026" s="609"/>
      <c r="AW1026" s="609"/>
      <c r="AX1026" s="609"/>
      <c r="AY1026" s="609"/>
      <c r="AZ1026" s="609"/>
      <c r="BA1026" s="609"/>
      <c r="BB1026" s="609"/>
      <c r="BC1026" s="609"/>
      <c r="BD1026" s="609"/>
      <c r="BE1026" s="609"/>
      <c r="BF1026" s="609"/>
      <c r="BG1026" s="609"/>
      <c r="BH1026" s="609"/>
      <c r="BI1026" s="609"/>
      <c r="BJ1026" s="609"/>
      <c r="BK1026" s="609"/>
      <c r="BL1026" s="609"/>
      <c r="BM1026" s="609"/>
      <c r="BN1026" s="609"/>
      <c r="BO1026" s="609"/>
      <c r="BP1026" s="609"/>
      <c r="BQ1026" s="609"/>
      <c r="BR1026" s="609"/>
      <c r="BS1026" s="609"/>
      <c r="BT1026" s="609"/>
      <c r="BU1026" s="609"/>
      <c r="BV1026" s="609"/>
      <c r="BW1026" s="609"/>
      <c r="BX1026" s="609"/>
      <c r="BY1026" s="609"/>
      <c r="BZ1026" s="609"/>
      <c r="CA1026" s="609"/>
      <c r="CB1026" s="609"/>
      <c r="CC1026" s="609"/>
      <c r="CD1026" s="609"/>
      <c r="CE1026" s="609"/>
      <c r="CF1026" s="609"/>
      <c r="CG1026" s="609"/>
      <c r="CH1026" s="609"/>
      <c r="CI1026" s="609"/>
      <c r="CJ1026" s="609"/>
      <c r="CK1026" s="609"/>
      <c r="CL1026" s="609"/>
      <c r="CM1026" s="609"/>
      <c r="CN1026" s="609"/>
      <c r="CO1026" s="609"/>
      <c r="CP1026" s="609"/>
      <c r="CQ1026" s="609"/>
      <c r="CR1026" s="609"/>
      <c r="CS1026" s="609"/>
      <c r="CT1026" s="609"/>
      <c r="CU1026" s="609"/>
      <c r="CV1026" s="609"/>
      <c r="CW1026" s="609"/>
      <c r="CX1026" s="609"/>
      <c r="CY1026" s="609"/>
      <c r="CZ1026" s="609"/>
      <c r="DA1026" s="609"/>
      <c r="DB1026" s="609"/>
      <c r="DC1026" s="609"/>
      <c r="DD1026" s="609"/>
      <c r="DE1026" s="609"/>
      <c r="DF1026" s="609"/>
      <c r="DG1026" s="609"/>
      <c r="DH1026" s="609"/>
      <c r="DI1026" s="609"/>
      <c r="DJ1026" s="609"/>
      <c r="DK1026" s="609"/>
      <c r="DL1026" s="609"/>
      <c r="DM1026" s="609"/>
      <c r="DN1026" s="609"/>
      <c r="DO1026" s="609"/>
      <c r="DP1026" s="609"/>
      <c r="DQ1026" s="609"/>
      <c r="DR1026" s="609"/>
      <c r="DS1026" s="609"/>
      <c r="DT1026" s="609"/>
      <c r="DU1026" s="609"/>
      <c r="DV1026" s="609"/>
      <c r="DW1026" s="609"/>
      <c r="DX1026" s="609"/>
      <c r="DY1026" s="609"/>
      <c r="DZ1026" s="609"/>
      <c r="EA1026" s="609"/>
      <c r="EB1026" s="609"/>
      <c r="EC1026" s="609"/>
      <c r="ED1026" s="609"/>
      <c r="EE1026" s="609"/>
      <c r="EF1026" s="609"/>
      <c r="EG1026" s="609"/>
      <c r="EH1026" s="609"/>
      <c r="EI1026" s="609"/>
      <c r="EJ1026" s="609"/>
      <c r="EK1026" s="609"/>
      <c r="EL1026" s="609"/>
      <c r="EM1026" s="609"/>
      <c r="EN1026" s="609"/>
      <c r="EO1026" s="609"/>
      <c r="EP1026" s="609"/>
      <c r="EQ1026" s="609"/>
      <c r="ER1026" s="609"/>
      <c r="ES1026" s="609"/>
      <c r="ET1026" s="609"/>
      <c r="EU1026" s="609"/>
      <c r="EV1026" s="609"/>
      <c r="EW1026" s="609"/>
      <c r="EX1026" s="609"/>
      <c r="EY1026" s="609"/>
      <c r="EZ1026" s="609"/>
      <c r="FA1026" s="609"/>
      <c r="FB1026" s="609"/>
      <c r="FC1026" s="609"/>
      <c r="FD1026" s="609"/>
      <c r="FE1026" s="609"/>
      <c r="FF1026" s="609"/>
      <c r="FG1026" s="609"/>
      <c r="FH1026" s="609"/>
      <c r="FI1026" s="609"/>
      <c r="FJ1026" s="609"/>
      <c r="FK1026" s="609"/>
      <c r="FL1026" s="609"/>
      <c r="FM1026" s="609"/>
      <c r="FN1026" s="609"/>
      <c r="FO1026" s="609"/>
      <c r="FP1026" s="609"/>
      <c r="FQ1026" s="609"/>
      <c r="FR1026" s="609"/>
      <c r="FS1026" s="609"/>
      <c r="FT1026" s="609"/>
      <c r="FU1026" s="609"/>
      <c r="FV1026" s="609"/>
      <c r="FW1026" s="609"/>
      <c r="FX1026" s="609"/>
      <c r="FY1026" s="609"/>
      <c r="FZ1026" s="609"/>
      <c r="GA1026" s="609"/>
      <c r="GB1026" s="609"/>
      <c r="GC1026" s="609"/>
      <c r="GD1026" s="609"/>
      <c r="GE1026" s="609"/>
      <c r="GF1026" s="609"/>
      <c r="GG1026" s="609"/>
      <c r="GH1026" s="609"/>
      <c r="GI1026" s="609"/>
      <c r="GJ1026" s="609"/>
      <c r="GK1026" s="609"/>
      <c r="GL1026" s="609"/>
      <c r="GM1026" s="609"/>
      <c r="GN1026" s="609"/>
      <c r="GO1026" s="609"/>
      <c r="GP1026" s="609"/>
      <c r="GQ1026" s="609"/>
      <c r="GR1026" s="609"/>
      <c r="GS1026" s="609"/>
      <c r="GT1026" s="609"/>
      <c r="GU1026" s="609"/>
      <c r="GV1026" s="609"/>
      <c r="GW1026" s="609"/>
      <c r="GX1026" s="609"/>
      <c r="GY1026" s="609"/>
      <c r="GZ1026" s="609"/>
      <c r="HA1026" s="609"/>
      <c r="HB1026" s="609"/>
      <c r="HC1026" s="609"/>
      <c r="HD1026" s="609"/>
      <c r="HE1026" s="609"/>
      <c r="HF1026" s="609"/>
      <c r="HG1026" s="609"/>
      <c r="HH1026" s="609"/>
      <c r="HI1026" s="609"/>
      <c r="HJ1026" s="609"/>
      <c r="HK1026" s="609"/>
      <c r="HL1026" s="609"/>
      <c r="HM1026" s="609"/>
      <c r="HN1026" s="609"/>
      <c r="HO1026" s="609"/>
      <c r="HP1026" s="609"/>
      <c r="HQ1026" s="609"/>
      <c r="HR1026" s="609"/>
      <c r="HS1026" s="609"/>
      <c r="HT1026" s="609"/>
      <c r="HU1026" s="609"/>
      <c r="HV1026" s="609"/>
      <c r="HW1026" s="609"/>
      <c r="HX1026" s="609"/>
      <c r="HY1026" s="609"/>
      <c r="HZ1026" s="609"/>
      <c r="IA1026" s="609"/>
      <c r="IB1026" s="609"/>
      <c r="IC1026" s="609"/>
      <c r="ID1026" s="609"/>
      <c r="IE1026" s="609"/>
      <c r="IF1026" s="609"/>
      <c r="IG1026" s="609"/>
      <c r="IH1026" s="609"/>
      <c r="II1026" s="609"/>
      <c r="IJ1026" s="609"/>
      <c r="IK1026" s="609"/>
      <c r="IL1026" s="609"/>
      <c r="IM1026" s="609"/>
      <c r="IN1026" s="609"/>
      <c r="IO1026" s="609"/>
      <c r="IP1026" s="609"/>
      <c r="IQ1026" s="609"/>
      <c r="IR1026" s="609"/>
      <c r="IS1026" s="609"/>
      <c r="IT1026" s="609"/>
      <c r="IU1026" s="609"/>
      <c r="IV1026" s="609"/>
    </row>
    <row r="1027" spans="1:256" s="642" customFormat="1" x14ac:dyDescent="0.25">
      <c r="A1027" s="634" t="s">
        <v>277</v>
      </c>
      <c r="B1027" s="634">
        <v>247</v>
      </c>
      <c r="C1027" s="634"/>
      <c r="D1027" s="635" t="s">
        <v>1070</v>
      </c>
      <c r="E1027" s="636" t="s">
        <v>229</v>
      </c>
      <c r="F1027" s="612">
        <v>1</v>
      </c>
      <c r="G1027" s="681">
        <v>9.65</v>
      </c>
      <c r="H1027" s="612"/>
      <c r="I1027" s="695"/>
      <c r="J1027" s="695">
        <f>ROUND(F1027*G1027,2)</f>
        <v>9.65</v>
      </c>
      <c r="K1027" s="695"/>
      <c r="L1027" s="695"/>
      <c r="M1027" s="695"/>
      <c r="N1027" s="695"/>
      <c r="O1027" s="695"/>
      <c r="P1027" s="695"/>
      <c r="Q1027" s="609"/>
      <c r="R1027" s="609"/>
      <c r="S1027" s="609"/>
      <c r="T1027" s="609"/>
      <c r="U1027" s="609"/>
      <c r="V1027" s="609"/>
      <c r="W1027" s="609"/>
      <c r="X1027" s="609"/>
      <c r="Y1027" s="609"/>
      <c r="Z1027" s="609"/>
      <c r="AA1027" s="609"/>
      <c r="AB1027" s="609"/>
      <c r="AC1027" s="609"/>
      <c r="AD1027" s="609"/>
      <c r="AE1027" s="609"/>
      <c r="AF1027" s="609"/>
      <c r="AG1027" s="609"/>
      <c r="AH1027" s="609"/>
      <c r="AI1027" s="609"/>
      <c r="AJ1027" s="609"/>
      <c r="AK1027" s="609"/>
      <c r="AL1027" s="609"/>
      <c r="AM1027" s="609"/>
      <c r="AN1027" s="609"/>
      <c r="AO1027" s="609"/>
      <c r="AP1027" s="609"/>
      <c r="AQ1027" s="609"/>
      <c r="AR1027" s="609"/>
      <c r="AS1027" s="609"/>
      <c r="AT1027" s="609"/>
      <c r="AU1027" s="609"/>
      <c r="AV1027" s="609"/>
      <c r="AW1027" s="609"/>
      <c r="AX1027" s="609"/>
      <c r="AY1027" s="609"/>
      <c r="AZ1027" s="609"/>
      <c r="BA1027" s="609"/>
      <c r="BB1027" s="609"/>
      <c r="BC1027" s="609"/>
      <c r="BD1027" s="609"/>
      <c r="BE1027" s="609"/>
      <c r="BF1027" s="609"/>
      <c r="BG1027" s="609"/>
      <c r="BH1027" s="609"/>
      <c r="BI1027" s="609"/>
      <c r="BJ1027" s="609"/>
      <c r="BK1027" s="609"/>
      <c r="BL1027" s="609"/>
      <c r="BM1027" s="609"/>
      <c r="BN1027" s="609"/>
      <c r="BO1027" s="609"/>
      <c r="BP1027" s="609"/>
      <c r="BQ1027" s="609"/>
      <c r="BR1027" s="609"/>
      <c r="BS1027" s="609"/>
      <c r="BT1027" s="609"/>
      <c r="BU1027" s="609"/>
      <c r="BV1027" s="609"/>
      <c r="BW1027" s="609"/>
      <c r="BX1027" s="609"/>
      <c r="BY1027" s="609"/>
      <c r="BZ1027" s="609"/>
      <c r="CA1027" s="609"/>
      <c r="CB1027" s="609"/>
      <c r="CC1027" s="609"/>
      <c r="CD1027" s="609"/>
      <c r="CE1027" s="609"/>
      <c r="CF1027" s="609"/>
      <c r="CG1027" s="609"/>
      <c r="CH1027" s="609"/>
      <c r="CI1027" s="609"/>
      <c r="CJ1027" s="609"/>
      <c r="CK1027" s="609"/>
      <c r="CL1027" s="609"/>
      <c r="CM1027" s="609"/>
      <c r="CN1027" s="609"/>
      <c r="CO1027" s="609"/>
      <c r="CP1027" s="609"/>
      <c r="CQ1027" s="609"/>
      <c r="CR1027" s="609"/>
      <c r="CS1027" s="609"/>
      <c r="CT1027" s="609"/>
      <c r="CU1027" s="609"/>
      <c r="CV1027" s="609"/>
      <c r="CW1027" s="609"/>
      <c r="CX1027" s="609"/>
      <c r="CY1027" s="609"/>
      <c r="CZ1027" s="609"/>
      <c r="DA1027" s="609"/>
      <c r="DB1027" s="609"/>
      <c r="DC1027" s="609"/>
      <c r="DD1027" s="609"/>
      <c r="DE1027" s="609"/>
      <c r="DF1027" s="609"/>
      <c r="DG1027" s="609"/>
      <c r="DH1027" s="609"/>
      <c r="DI1027" s="609"/>
      <c r="DJ1027" s="609"/>
      <c r="DK1027" s="609"/>
      <c r="DL1027" s="609"/>
      <c r="DM1027" s="609"/>
      <c r="DN1027" s="609"/>
      <c r="DO1027" s="609"/>
      <c r="DP1027" s="609"/>
      <c r="DQ1027" s="609"/>
      <c r="DR1027" s="609"/>
      <c r="DS1027" s="609"/>
      <c r="DT1027" s="609"/>
      <c r="DU1027" s="609"/>
      <c r="DV1027" s="609"/>
      <c r="DW1027" s="609"/>
      <c r="DX1027" s="609"/>
      <c r="DY1027" s="609"/>
      <c r="DZ1027" s="609"/>
      <c r="EA1027" s="609"/>
      <c r="EB1027" s="609"/>
      <c r="EC1027" s="609"/>
      <c r="ED1027" s="609"/>
      <c r="EE1027" s="609"/>
      <c r="EF1027" s="609"/>
      <c r="EG1027" s="609"/>
      <c r="EH1027" s="609"/>
      <c r="EI1027" s="609"/>
      <c r="EJ1027" s="609"/>
      <c r="EK1027" s="609"/>
      <c r="EL1027" s="609"/>
      <c r="EM1027" s="609"/>
      <c r="EN1027" s="609"/>
      <c r="EO1027" s="609"/>
      <c r="EP1027" s="609"/>
      <c r="EQ1027" s="609"/>
      <c r="ER1027" s="609"/>
      <c r="ES1027" s="609"/>
      <c r="ET1027" s="609"/>
      <c r="EU1027" s="609"/>
      <c r="EV1027" s="609"/>
      <c r="EW1027" s="609"/>
      <c r="EX1027" s="609"/>
      <c r="EY1027" s="609"/>
      <c r="EZ1027" s="609"/>
      <c r="FA1027" s="609"/>
      <c r="FB1027" s="609"/>
      <c r="FC1027" s="609"/>
      <c r="FD1027" s="609"/>
      <c r="FE1027" s="609"/>
      <c r="FF1027" s="609"/>
      <c r="FG1027" s="609"/>
      <c r="FH1027" s="609"/>
      <c r="FI1027" s="609"/>
      <c r="FJ1027" s="609"/>
      <c r="FK1027" s="609"/>
      <c r="FL1027" s="609"/>
      <c r="FM1027" s="609"/>
      <c r="FN1027" s="609"/>
      <c r="FO1027" s="609"/>
      <c r="FP1027" s="609"/>
      <c r="FQ1027" s="609"/>
      <c r="FR1027" s="609"/>
      <c r="FS1027" s="609"/>
      <c r="FT1027" s="609"/>
      <c r="FU1027" s="609"/>
      <c r="FV1027" s="609"/>
      <c r="FW1027" s="609"/>
      <c r="FX1027" s="609"/>
      <c r="FY1027" s="609"/>
      <c r="FZ1027" s="609"/>
      <c r="GA1027" s="609"/>
      <c r="GB1027" s="609"/>
      <c r="GC1027" s="609"/>
      <c r="GD1027" s="609"/>
      <c r="GE1027" s="609"/>
      <c r="GF1027" s="609"/>
      <c r="GG1027" s="609"/>
      <c r="GH1027" s="609"/>
      <c r="GI1027" s="609"/>
      <c r="GJ1027" s="609"/>
      <c r="GK1027" s="609"/>
      <c r="GL1027" s="609"/>
      <c r="GM1027" s="609"/>
      <c r="GN1027" s="609"/>
      <c r="GO1027" s="609"/>
      <c r="GP1027" s="609"/>
      <c r="GQ1027" s="609"/>
      <c r="GR1027" s="609"/>
      <c r="GS1027" s="609"/>
      <c r="GT1027" s="609"/>
      <c r="GU1027" s="609"/>
      <c r="GV1027" s="609"/>
      <c r="GW1027" s="609"/>
      <c r="GX1027" s="609"/>
      <c r="GY1027" s="609"/>
      <c r="GZ1027" s="609"/>
      <c r="HA1027" s="609"/>
      <c r="HB1027" s="609"/>
      <c r="HC1027" s="609"/>
      <c r="HD1027" s="609"/>
      <c r="HE1027" s="609"/>
      <c r="HF1027" s="609"/>
      <c r="HG1027" s="609"/>
      <c r="HH1027" s="609"/>
      <c r="HI1027" s="609"/>
      <c r="HJ1027" s="609"/>
      <c r="HK1027" s="609"/>
      <c r="HL1027" s="609"/>
      <c r="HM1027" s="609"/>
      <c r="HN1027" s="609"/>
      <c r="HO1027" s="609"/>
      <c r="HP1027" s="609"/>
      <c r="HQ1027" s="609"/>
      <c r="HR1027" s="609"/>
      <c r="HS1027" s="609"/>
      <c r="HT1027" s="609"/>
      <c r="HU1027" s="609"/>
      <c r="HV1027" s="609"/>
      <c r="HW1027" s="609"/>
      <c r="HX1027" s="609"/>
      <c r="HY1027" s="609"/>
      <c r="HZ1027" s="609"/>
      <c r="IA1027" s="609"/>
      <c r="IB1027" s="609"/>
      <c r="IC1027" s="609"/>
      <c r="ID1027" s="609"/>
      <c r="IE1027" s="609"/>
      <c r="IF1027" s="609"/>
      <c r="IG1027" s="609"/>
      <c r="IH1027" s="609"/>
      <c r="II1027" s="609"/>
      <c r="IJ1027" s="609"/>
      <c r="IK1027" s="609"/>
      <c r="IL1027" s="609"/>
      <c r="IM1027" s="609"/>
      <c r="IN1027" s="609"/>
      <c r="IO1027" s="609"/>
      <c r="IP1027" s="609"/>
      <c r="IQ1027" s="609"/>
      <c r="IR1027" s="609"/>
      <c r="IS1027" s="609"/>
      <c r="IT1027" s="609"/>
      <c r="IU1027" s="609"/>
      <c r="IV1027" s="609"/>
    </row>
    <row r="1028" spans="1:256" s="642" customFormat="1" ht="9.75" customHeight="1" x14ac:dyDescent="0.25">
      <c r="A1028" s="636"/>
      <c r="B1028" s="636"/>
      <c r="C1028" s="636"/>
      <c r="D1028" s="612"/>
      <c r="E1028" s="636"/>
      <c r="F1028" s="612"/>
      <c r="G1028" s="614"/>
      <c r="H1028" s="612"/>
      <c r="I1028" s="695"/>
      <c r="J1028" s="695"/>
      <c r="K1028" s="695"/>
      <c r="L1028" s="695"/>
      <c r="M1028" s="695"/>
      <c r="N1028" s="695"/>
      <c r="O1028" s="695"/>
      <c r="P1028" s="695"/>
      <c r="Q1028" s="609"/>
      <c r="R1028" s="609"/>
      <c r="S1028" s="609"/>
      <c r="T1028" s="609"/>
      <c r="U1028" s="609"/>
      <c r="V1028" s="609"/>
      <c r="W1028" s="609"/>
      <c r="X1028" s="609"/>
      <c r="Y1028" s="609"/>
      <c r="Z1028" s="609"/>
      <c r="AA1028" s="609"/>
      <c r="AB1028" s="609"/>
      <c r="AC1028" s="609"/>
      <c r="AD1028" s="609"/>
      <c r="AE1028" s="609"/>
      <c r="AF1028" s="609"/>
      <c r="AG1028" s="609"/>
      <c r="AH1028" s="609"/>
      <c r="AI1028" s="609"/>
      <c r="AJ1028" s="609"/>
      <c r="AK1028" s="609"/>
      <c r="AL1028" s="609"/>
      <c r="AM1028" s="609"/>
      <c r="AN1028" s="609"/>
      <c r="AO1028" s="609"/>
      <c r="AP1028" s="609"/>
      <c r="AQ1028" s="609"/>
      <c r="AR1028" s="609"/>
      <c r="AS1028" s="609"/>
      <c r="AT1028" s="609"/>
      <c r="AU1028" s="609"/>
      <c r="AV1028" s="609"/>
      <c r="AW1028" s="609"/>
      <c r="AX1028" s="609"/>
      <c r="AY1028" s="609"/>
      <c r="AZ1028" s="609"/>
      <c r="BA1028" s="609"/>
      <c r="BB1028" s="609"/>
      <c r="BC1028" s="609"/>
      <c r="BD1028" s="609"/>
      <c r="BE1028" s="609"/>
      <c r="BF1028" s="609"/>
      <c r="BG1028" s="609"/>
      <c r="BH1028" s="609"/>
      <c r="BI1028" s="609"/>
      <c r="BJ1028" s="609"/>
      <c r="BK1028" s="609"/>
      <c r="BL1028" s="609"/>
      <c r="BM1028" s="609"/>
      <c r="BN1028" s="609"/>
      <c r="BO1028" s="609"/>
      <c r="BP1028" s="609"/>
      <c r="BQ1028" s="609"/>
      <c r="BR1028" s="609"/>
      <c r="BS1028" s="609"/>
      <c r="BT1028" s="609"/>
      <c r="BU1028" s="609"/>
      <c r="BV1028" s="609"/>
      <c r="BW1028" s="609"/>
      <c r="BX1028" s="609"/>
      <c r="BY1028" s="609"/>
      <c r="BZ1028" s="609"/>
      <c r="CA1028" s="609"/>
      <c r="CB1028" s="609"/>
      <c r="CC1028" s="609"/>
      <c r="CD1028" s="609"/>
      <c r="CE1028" s="609"/>
      <c r="CF1028" s="609"/>
      <c r="CG1028" s="609"/>
      <c r="CH1028" s="609"/>
      <c r="CI1028" s="609"/>
      <c r="CJ1028" s="609"/>
      <c r="CK1028" s="609"/>
      <c r="CL1028" s="609"/>
      <c r="CM1028" s="609"/>
      <c r="CN1028" s="609"/>
      <c r="CO1028" s="609"/>
      <c r="CP1028" s="609"/>
      <c r="CQ1028" s="609"/>
      <c r="CR1028" s="609"/>
      <c r="CS1028" s="609"/>
      <c r="CT1028" s="609"/>
      <c r="CU1028" s="609"/>
      <c r="CV1028" s="609"/>
      <c r="CW1028" s="609"/>
      <c r="CX1028" s="609"/>
      <c r="CY1028" s="609"/>
      <c r="CZ1028" s="609"/>
      <c r="DA1028" s="609"/>
      <c r="DB1028" s="609"/>
      <c r="DC1028" s="609"/>
      <c r="DD1028" s="609"/>
      <c r="DE1028" s="609"/>
      <c r="DF1028" s="609"/>
      <c r="DG1028" s="609"/>
      <c r="DH1028" s="609"/>
      <c r="DI1028" s="609"/>
      <c r="DJ1028" s="609"/>
      <c r="DK1028" s="609"/>
      <c r="DL1028" s="609"/>
      <c r="DM1028" s="609"/>
      <c r="DN1028" s="609"/>
      <c r="DO1028" s="609"/>
      <c r="DP1028" s="609"/>
      <c r="DQ1028" s="609"/>
      <c r="DR1028" s="609"/>
      <c r="DS1028" s="609"/>
      <c r="DT1028" s="609"/>
      <c r="DU1028" s="609"/>
      <c r="DV1028" s="609"/>
      <c r="DW1028" s="609"/>
      <c r="DX1028" s="609"/>
      <c r="DY1028" s="609"/>
      <c r="DZ1028" s="609"/>
      <c r="EA1028" s="609"/>
      <c r="EB1028" s="609"/>
      <c r="EC1028" s="609"/>
      <c r="ED1028" s="609"/>
      <c r="EE1028" s="609"/>
      <c r="EF1028" s="609"/>
      <c r="EG1028" s="609"/>
      <c r="EH1028" s="609"/>
      <c r="EI1028" s="609"/>
      <c r="EJ1028" s="609"/>
      <c r="EK1028" s="609"/>
      <c r="EL1028" s="609"/>
      <c r="EM1028" s="609"/>
      <c r="EN1028" s="609"/>
      <c r="EO1028" s="609"/>
      <c r="EP1028" s="609"/>
      <c r="EQ1028" s="609"/>
      <c r="ER1028" s="609"/>
      <c r="ES1028" s="609"/>
      <c r="ET1028" s="609"/>
      <c r="EU1028" s="609"/>
      <c r="EV1028" s="609"/>
      <c r="EW1028" s="609"/>
      <c r="EX1028" s="609"/>
      <c r="EY1028" s="609"/>
      <c r="EZ1028" s="609"/>
      <c r="FA1028" s="609"/>
      <c r="FB1028" s="609"/>
      <c r="FC1028" s="609"/>
      <c r="FD1028" s="609"/>
      <c r="FE1028" s="609"/>
      <c r="FF1028" s="609"/>
      <c r="FG1028" s="609"/>
      <c r="FH1028" s="609"/>
      <c r="FI1028" s="609"/>
      <c r="FJ1028" s="609"/>
      <c r="FK1028" s="609"/>
      <c r="FL1028" s="609"/>
      <c r="FM1028" s="609"/>
      <c r="FN1028" s="609"/>
      <c r="FO1028" s="609"/>
      <c r="FP1028" s="609"/>
      <c r="FQ1028" s="609"/>
      <c r="FR1028" s="609"/>
      <c r="FS1028" s="609"/>
      <c r="FT1028" s="609"/>
      <c r="FU1028" s="609"/>
      <c r="FV1028" s="609"/>
      <c r="FW1028" s="609"/>
      <c r="FX1028" s="609"/>
      <c r="FY1028" s="609"/>
      <c r="FZ1028" s="609"/>
      <c r="GA1028" s="609"/>
      <c r="GB1028" s="609"/>
      <c r="GC1028" s="609"/>
      <c r="GD1028" s="609"/>
      <c r="GE1028" s="609"/>
      <c r="GF1028" s="609"/>
      <c r="GG1028" s="609"/>
      <c r="GH1028" s="609"/>
      <c r="GI1028" s="609"/>
      <c r="GJ1028" s="609"/>
      <c r="GK1028" s="609"/>
      <c r="GL1028" s="609"/>
      <c r="GM1028" s="609"/>
      <c r="GN1028" s="609"/>
      <c r="GO1028" s="609"/>
      <c r="GP1028" s="609"/>
      <c r="GQ1028" s="609"/>
      <c r="GR1028" s="609"/>
      <c r="GS1028" s="609"/>
      <c r="GT1028" s="609"/>
      <c r="GU1028" s="609"/>
      <c r="GV1028" s="609"/>
      <c r="GW1028" s="609"/>
      <c r="GX1028" s="609"/>
      <c r="GY1028" s="609"/>
      <c r="GZ1028" s="609"/>
      <c r="HA1028" s="609"/>
      <c r="HB1028" s="609"/>
      <c r="HC1028" s="609"/>
      <c r="HD1028" s="609"/>
      <c r="HE1028" s="609"/>
      <c r="HF1028" s="609"/>
      <c r="HG1028" s="609"/>
      <c r="HH1028" s="609"/>
      <c r="HI1028" s="609"/>
      <c r="HJ1028" s="609"/>
      <c r="HK1028" s="609"/>
      <c r="HL1028" s="609"/>
      <c r="HM1028" s="609"/>
      <c r="HN1028" s="609"/>
      <c r="HO1028" s="609"/>
      <c r="HP1028" s="609"/>
      <c r="HQ1028" s="609"/>
      <c r="HR1028" s="609"/>
      <c r="HS1028" s="609"/>
      <c r="HT1028" s="609"/>
      <c r="HU1028" s="609"/>
      <c r="HV1028" s="609"/>
      <c r="HW1028" s="609"/>
      <c r="HX1028" s="609"/>
      <c r="HY1028" s="609"/>
      <c r="HZ1028" s="609"/>
      <c r="IA1028" s="609"/>
      <c r="IB1028" s="609"/>
      <c r="IC1028" s="609"/>
      <c r="ID1028" s="609"/>
      <c r="IE1028" s="609"/>
      <c r="IF1028" s="609"/>
      <c r="IG1028" s="609"/>
      <c r="IH1028" s="609"/>
      <c r="II1028" s="609"/>
      <c r="IJ1028" s="609"/>
      <c r="IK1028" s="609"/>
      <c r="IL1028" s="609"/>
      <c r="IM1028" s="609"/>
      <c r="IN1028" s="609"/>
      <c r="IO1028" s="609"/>
      <c r="IP1028" s="609"/>
      <c r="IQ1028" s="609"/>
      <c r="IR1028" s="609"/>
      <c r="IS1028" s="609"/>
      <c r="IT1028" s="609"/>
      <c r="IU1028" s="609"/>
      <c r="IV1028" s="609"/>
    </row>
    <row r="1029" spans="1:256" s="642" customFormat="1" x14ac:dyDescent="0.25">
      <c r="A1029" s="662" t="s">
        <v>1705</v>
      </c>
      <c r="B1029" s="675"/>
      <c r="C1029" s="675" t="s">
        <v>1745</v>
      </c>
      <c r="D1029" s="740" t="s">
        <v>1746</v>
      </c>
      <c r="E1029" s="675" t="s">
        <v>1747</v>
      </c>
      <c r="F1029" s="620"/>
      <c r="G1029" s="622">
        <v>55</v>
      </c>
      <c r="H1029" s="620">
        <v>16</v>
      </c>
      <c r="I1029" s="620"/>
      <c r="J1029" s="665">
        <f>G1029</f>
        <v>55</v>
      </c>
      <c r="K1029" s="665">
        <f>I1029+J1029</f>
        <v>55</v>
      </c>
      <c r="L1029" s="622">
        <f>H1029*I1029</f>
        <v>0</v>
      </c>
      <c r="M1029" s="622">
        <f>H1029*J1029</f>
        <v>880</v>
      </c>
      <c r="N1029" s="622">
        <f>L1029+M1029</f>
        <v>880</v>
      </c>
      <c r="O1029" s="622">
        <f>N1029*$P$4</f>
        <v>216.12800000000001</v>
      </c>
      <c r="P1029" s="622">
        <f>N1029+O1029</f>
        <v>1096.1279999999999</v>
      </c>
      <c r="Q1029" s="609"/>
      <c r="R1029" s="609"/>
      <c r="S1029" s="609"/>
      <c r="T1029" s="609"/>
      <c r="U1029" s="609"/>
      <c r="V1029" s="609"/>
      <c r="W1029" s="609"/>
      <c r="X1029" s="609"/>
      <c r="Y1029" s="609"/>
      <c r="Z1029" s="609"/>
      <c r="AA1029" s="609"/>
      <c r="AB1029" s="609"/>
      <c r="AC1029" s="609"/>
      <c r="AD1029" s="609"/>
      <c r="AE1029" s="609"/>
      <c r="AF1029" s="609"/>
      <c r="AG1029" s="609"/>
      <c r="AH1029" s="609"/>
      <c r="AI1029" s="609"/>
      <c r="AJ1029" s="609"/>
      <c r="AK1029" s="609"/>
      <c r="AL1029" s="609"/>
      <c r="AM1029" s="609"/>
      <c r="AN1029" s="609"/>
      <c r="AO1029" s="609"/>
      <c r="AP1029" s="609"/>
      <c r="AQ1029" s="609"/>
      <c r="AR1029" s="609"/>
      <c r="AS1029" s="609"/>
      <c r="AT1029" s="609"/>
      <c r="AU1029" s="609"/>
      <c r="AV1029" s="609"/>
      <c r="AW1029" s="609"/>
      <c r="AX1029" s="609"/>
      <c r="AY1029" s="609"/>
      <c r="AZ1029" s="609"/>
      <c r="BA1029" s="609"/>
      <c r="BB1029" s="609"/>
      <c r="BC1029" s="609"/>
      <c r="BD1029" s="609"/>
      <c r="BE1029" s="609"/>
      <c r="BF1029" s="609"/>
      <c r="BG1029" s="609"/>
      <c r="BH1029" s="609"/>
      <c r="BI1029" s="609"/>
      <c r="BJ1029" s="609"/>
      <c r="BK1029" s="609"/>
      <c r="BL1029" s="609"/>
      <c r="BM1029" s="609"/>
      <c r="BN1029" s="609"/>
      <c r="BO1029" s="609"/>
      <c r="BP1029" s="609"/>
      <c r="BQ1029" s="609"/>
      <c r="BR1029" s="609"/>
      <c r="BS1029" s="609"/>
      <c r="BT1029" s="609"/>
      <c r="BU1029" s="609"/>
      <c r="BV1029" s="609"/>
      <c r="BW1029" s="609"/>
      <c r="BX1029" s="609"/>
      <c r="BY1029" s="609"/>
      <c r="BZ1029" s="609"/>
      <c r="CA1029" s="609"/>
      <c r="CB1029" s="609"/>
      <c r="CC1029" s="609"/>
      <c r="CD1029" s="609"/>
      <c r="CE1029" s="609"/>
      <c r="CF1029" s="609"/>
      <c r="CG1029" s="609"/>
      <c r="CH1029" s="609"/>
      <c r="CI1029" s="609"/>
      <c r="CJ1029" s="609"/>
      <c r="CK1029" s="609"/>
      <c r="CL1029" s="609"/>
      <c r="CM1029" s="609"/>
      <c r="CN1029" s="609"/>
      <c r="CO1029" s="609"/>
      <c r="CP1029" s="609"/>
      <c r="CQ1029" s="609"/>
      <c r="CR1029" s="609"/>
      <c r="CS1029" s="609"/>
      <c r="CT1029" s="609"/>
      <c r="CU1029" s="609"/>
      <c r="CV1029" s="609"/>
      <c r="CW1029" s="609"/>
      <c r="CX1029" s="609"/>
      <c r="CY1029" s="609"/>
      <c r="CZ1029" s="609"/>
      <c r="DA1029" s="609"/>
      <c r="DB1029" s="609"/>
      <c r="DC1029" s="609"/>
      <c r="DD1029" s="609"/>
      <c r="DE1029" s="609"/>
      <c r="DF1029" s="609"/>
      <c r="DG1029" s="609"/>
      <c r="DH1029" s="609"/>
      <c r="DI1029" s="609"/>
      <c r="DJ1029" s="609"/>
      <c r="DK1029" s="609"/>
      <c r="DL1029" s="609"/>
      <c r="DM1029" s="609"/>
      <c r="DN1029" s="609"/>
      <c r="DO1029" s="609"/>
      <c r="DP1029" s="609"/>
      <c r="DQ1029" s="609"/>
      <c r="DR1029" s="609"/>
      <c r="DS1029" s="609"/>
      <c r="DT1029" s="609"/>
      <c r="DU1029" s="609"/>
      <c r="DV1029" s="609"/>
      <c r="DW1029" s="609"/>
      <c r="DX1029" s="609"/>
      <c r="DY1029" s="609"/>
      <c r="DZ1029" s="609"/>
      <c r="EA1029" s="609"/>
      <c r="EB1029" s="609"/>
      <c r="EC1029" s="609"/>
      <c r="ED1029" s="609"/>
      <c r="EE1029" s="609"/>
      <c r="EF1029" s="609"/>
      <c r="EG1029" s="609"/>
      <c r="EH1029" s="609"/>
      <c r="EI1029" s="609"/>
      <c r="EJ1029" s="609"/>
      <c r="EK1029" s="609"/>
      <c r="EL1029" s="609"/>
      <c r="EM1029" s="609"/>
      <c r="EN1029" s="609"/>
      <c r="EO1029" s="609"/>
      <c r="EP1029" s="609"/>
      <c r="EQ1029" s="609"/>
      <c r="ER1029" s="609"/>
      <c r="ES1029" s="609"/>
      <c r="ET1029" s="609"/>
      <c r="EU1029" s="609"/>
      <c r="EV1029" s="609"/>
      <c r="EW1029" s="609"/>
      <c r="EX1029" s="609"/>
      <c r="EY1029" s="609"/>
      <c r="EZ1029" s="609"/>
      <c r="FA1029" s="609"/>
      <c r="FB1029" s="609"/>
      <c r="FC1029" s="609"/>
      <c r="FD1029" s="609"/>
      <c r="FE1029" s="609"/>
      <c r="FF1029" s="609"/>
      <c r="FG1029" s="609"/>
      <c r="FH1029" s="609"/>
      <c r="FI1029" s="609"/>
      <c r="FJ1029" s="609"/>
      <c r="FK1029" s="609"/>
      <c r="FL1029" s="609"/>
      <c r="FM1029" s="609"/>
      <c r="FN1029" s="609"/>
      <c r="FO1029" s="609"/>
      <c r="FP1029" s="609"/>
      <c r="FQ1029" s="609"/>
      <c r="FR1029" s="609"/>
      <c r="FS1029" s="609"/>
      <c r="FT1029" s="609"/>
      <c r="FU1029" s="609"/>
      <c r="FV1029" s="609"/>
      <c r="FW1029" s="609"/>
      <c r="FX1029" s="609"/>
      <c r="FY1029" s="609"/>
      <c r="FZ1029" s="609"/>
      <c r="GA1029" s="609"/>
      <c r="GB1029" s="609"/>
      <c r="GC1029" s="609"/>
      <c r="GD1029" s="609"/>
      <c r="GE1029" s="609"/>
      <c r="GF1029" s="609"/>
      <c r="GG1029" s="609"/>
      <c r="GH1029" s="609"/>
      <c r="GI1029" s="609"/>
      <c r="GJ1029" s="609"/>
      <c r="GK1029" s="609"/>
      <c r="GL1029" s="609"/>
      <c r="GM1029" s="609"/>
      <c r="GN1029" s="609"/>
      <c r="GO1029" s="609"/>
      <c r="GP1029" s="609"/>
      <c r="GQ1029" s="609"/>
      <c r="GR1029" s="609"/>
      <c r="GS1029" s="609"/>
      <c r="GT1029" s="609"/>
      <c r="GU1029" s="609"/>
      <c r="GV1029" s="609"/>
      <c r="GW1029" s="609"/>
      <c r="GX1029" s="609"/>
      <c r="GY1029" s="609"/>
      <c r="GZ1029" s="609"/>
      <c r="HA1029" s="609"/>
      <c r="HB1029" s="609"/>
      <c r="HC1029" s="609"/>
      <c r="HD1029" s="609"/>
      <c r="HE1029" s="609"/>
      <c r="HF1029" s="609"/>
      <c r="HG1029" s="609"/>
      <c r="HH1029" s="609"/>
      <c r="HI1029" s="609"/>
      <c r="HJ1029" s="609"/>
      <c r="HK1029" s="609"/>
      <c r="HL1029" s="609"/>
      <c r="HM1029" s="609"/>
      <c r="HN1029" s="609"/>
      <c r="HO1029" s="609"/>
      <c r="HP1029" s="609"/>
      <c r="HQ1029" s="609"/>
      <c r="HR1029" s="609"/>
      <c r="HS1029" s="609"/>
      <c r="HT1029" s="609"/>
      <c r="HU1029" s="609"/>
      <c r="HV1029" s="609"/>
      <c r="HW1029" s="609"/>
      <c r="HX1029" s="609"/>
      <c r="HY1029" s="609"/>
      <c r="HZ1029" s="609"/>
      <c r="IA1029" s="609"/>
      <c r="IB1029" s="609"/>
      <c r="IC1029" s="609"/>
      <c r="ID1029" s="609"/>
      <c r="IE1029" s="609"/>
      <c r="IF1029" s="609"/>
      <c r="IG1029" s="609"/>
      <c r="IH1029" s="609"/>
      <c r="II1029" s="609"/>
      <c r="IJ1029" s="609"/>
      <c r="IK1029" s="609"/>
      <c r="IL1029" s="609"/>
      <c r="IM1029" s="609"/>
      <c r="IN1029" s="609"/>
      <c r="IO1029" s="609"/>
      <c r="IP1029" s="609"/>
      <c r="IQ1029" s="609"/>
      <c r="IR1029" s="609"/>
      <c r="IS1029" s="609"/>
      <c r="IT1029" s="609"/>
      <c r="IU1029" s="609"/>
      <c r="IV1029" s="609"/>
    </row>
    <row r="1030" spans="1:256" s="642" customFormat="1" x14ac:dyDescent="0.25">
      <c r="A1030" s="634"/>
      <c r="B1030" s="634"/>
      <c r="C1030" s="634"/>
      <c r="D1030" s="635"/>
      <c r="E1030" s="634"/>
      <c r="F1030" s="635"/>
      <c r="G1030" s="681"/>
      <c r="H1030" s="635"/>
      <c r="I1030" s="691"/>
      <c r="J1030" s="691"/>
      <c r="K1030" s="691"/>
      <c r="L1030" s="691"/>
      <c r="M1030" s="691"/>
      <c r="N1030" s="691"/>
      <c r="O1030" s="691"/>
      <c r="P1030" s="691"/>
    </row>
    <row r="1031" spans="1:256" s="708" customFormat="1" ht="24" x14ac:dyDescent="0.25">
      <c r="A1031" s="662" t="s">
        <v>1705</v>
      </c>
      <c r="B1031" s="675"/>
      <c r="C1031" s="663" t="s">
        <v>1748</v>
      </c>
      <c r="D1031" s="741" t="s">
        <v>1749</v>
      </c>
      <c r="E1031" s="631" t="s">
        <v>251</v>
      </c>
      <c r="F1031" s="632"/>
      <c r="G1031" s="742">
        <v>20.6</v>
      </c>
      <c r="H1031" s="632">
        <v>100</v>
      </c>
      <c r="I1031" s="743">
        <f>G1031</f>
        <v>20.6</v>
      </c>
      <c r="J1031" s="677"/>
      <c r="K1031" s="677">
        <f>I1031+J1031</f>
        <v>20.6</v>
      </c>
      <c r="L1031" s="622">
        <f>H1031*I1031</f>
        <v>2060</v>
      </c>
      <c r="M1031" s="622">
        <f>H1031*J1031</f>
        <v>0</v>
      </c>
      <c r="N1031" s="622">
        <f>L1031+M1031</f>
        <v>2060</v>
      </c>
      <c r="O1031" s="622">
        <f>N1031*$P$4</f>
        <v>505.93600000000004</v>
      </c>
      <c r="P1031" s="622">
        <f>N1031+O1031</f>
        <v>2565.9360000000001</v>
      </c>
      <c r="Q1031" s="744"/>
      <c r="R1031" s="744"/>
      <c r="S1031" s="744"/>
      <c r="T1031" s="744"/>
      <c r="U1031" s="744"/>
      <c r="V1031" s="744"/>
      <c r="W1031" s="744"/>
      <c r="X1031" s="744"/>
      <c r="Y1031" s="744"/>
      <c r="Z1031" s="744"/>
      <c r="AA1031" s="744"/>
      <c r="AB1031" s="744"/>
      <c r="AC1031" s="744"/>
      <c r="AD1031" s="744"/>
      <c r="AE1031" s="744"/>
      <c r="AF1031" s="744"/>
      <c r="AG1031" s="744"/>
      <c r="AH1031" s="744"/>
      <c r="AI1031" s="744"/>
      <c r="AJ1031" s="744"/>
      <c r="AK1031" s="744"/>
      <c r="AL1031" s="744"/>
      <c r="AM1031" s="744"/>
      <c r="AN1031" s="744"/>
      <c r="AO1031" s="744"/>
      <c r="AP1031" s="744"/>
      <c r="AQ1031" s="744"/>
      <c r="AR1031" s="744"/>
      <c r="AS1031" s="744"/>
      <c r="AT1031" s="744"/>
      <c r="AU1031" s="744"/>
      <c r="AV1031" s="744"/>
      <c r="AW1031" s="744"/>
      <c r="AX1031" s="744"/>
      <c r="AY1031" s="744"/>
      <c r="AZ1031" s="744"/>
      <c r="BA1031" s="744"/>
      <c r="BB1031" s="744"/>
      <c r="BC1031" s="744"/>
      <c r="BD1031" s="744"/>
      <c r="BE1031" s="744"/>
      <c r="BF1031" s="744"/>
      <c r="BG1031" s="744"/>
      <c r="BH1031" s="744"/>
      <c r="BI1031" s="744"/>
      <c r="BJ1031" s="744"/>
      <c r="BK1031" s="744"/>
      <c r="BL1031" s="744"/>
      <c r="BM1031" s="744"/>
      <c r="BN1031" s="744"/>
      <c r="BO1031" s="744"/>
      <c r="BP1031" s="744"/>
      <c r="BQ1031" s="744"/>
      <c r="BR1031" s="744"/>
      <c r="BS1031" s="744"/>
      <c r="BT1031" s="744"/>
      <c r="BU1031" s="744"/>
      <c r="BV1031" s="744"/>
      <c r="BW1031" s="744"/>
      <c r="BX1031" s="744"/>
      <c r="BY1031" s="744"/>
      <c r="BZ1031" s="744"/>
      <c r="CA1031" s="744"/>
      <c r="CB1031" s="744"/>
      <c r="CC1031" s="744"/>
      <c r="CD1031" s="744"/>
      <c r="CE1031" s="744"/>
      <c r="CF1031" s="744"/>
      <c r="CG1031" s="744"/>
      <c r="CH1031" s="744"/>
      <c r="CI1031" s="744"/>
      <c r="CJ1031" s="744"/>
      <c r="CK1031" s="744"/>
      <c r="CL1031" s="744"/>
      <c r="CM1031" s="744"/>
      <c r="CN1031" s="744"/>
      <c r="CO1031" s="744"/>
      <c r="CP1031" s="744"/>
      <c r="CQ1031" s="744"/>
      <c r="CR1031" s="744"/>
      <c r="CS1031" s="744"/>
      <c r="CT1031" s="744"/>
      <c r="CU1031" s="744"/>
      <c r="CV1031" s="744"/>
      <c r="CW1031" s="744"/>
      <c r="CX1031" s="744"/>
      <c r="CY1031" s="744"/>
      <c r="CZ1031" s="744"/>
      <c r="DA1031" s="744"/>
      <c r="DB1031" s="744"/>
      <c r="DC1031" s="744"/>
      <c r="DD1031" s="744"/>
      <c r="DE1031" s="744"/>
      <c r="DF1031" s="744"/>
      <c r="DG1031" s="744"/>
      <c r="DH1031" s="744"/>
      <c r="DI1031" s="744"/>
      <c r="DJ1031" s="744"/>
      <c r="DK1031" s="744"/>
      <c r="DL1031" s="744"/>
      <c r="DM1031" s="744"/>
      <c r="DN1031" s="744"/>
      <c r="DO1031" s="744"/>
      <c r="DP1031" s="744"/>
      <c r="DQ1031" s="744"/>
      <c r="DR1031" s="744"/>
      <c r="DS1031" s="744"/>
      <c r="DT1031" s="744"/>
      <c r="DU1031" s="744"/>
      <c r="DV1031" s="744"/>
      <c r="DW1031" s="744"/>
      <c r="DX1031" s="744"/>
      <c r="DY1031" s="744"/>
      <c r="DZ1031" s="744"/>
      <c r="EA1031" s="744"/>
      <c r="EB1031" s="744"/>
      <c r="EC1031" s="744"/>
      <c r="ED1031" s="744"/>
      <c r="EE1031" s="744"/>
      <c r="EF1031" s="744"/>
      <c r="EG1031" s="744"/>
      <c r="EH1031" s="744"/>
      <c r="EI1031" s="744"/>
      <c r="EJ1031" s="744"/>
      <c r="EK1031" s="744"/>
      <c r="EL1031" s="744"/>
      <c r="EM1031" s="744"/>
      <c r="EN1031" s="744"/>
      <c r="EO1031" s="744"/>
      <c r="EP1031" s="744"/>
      <c r="EQ1031" s="744"/>
      <c r="ER1031" s="744"/>
      <c r="ES1031" s="744"/>
      <c r="ET1031" s="744"/>
      <c r="EU1031" s="744"/>
      <c r="EV1031" s="744"/>
      <c r="EW1031" s="744"/>
      <c r="EX1031" s="744"/>
      <c r="EY1031" s="744"/>
      <c r="EZ1031" s="744"/>
      <c r="FA1031" s="744"/>
      <c r="FB1031" s="744"/>
      <c r="FC1031" s="744"/>
      <c r="FD1031" s="744"/>
      <c r="FE1031" s="744"/>
      <c r="FF1031" s="744"/>
      <c r="FG1031" s="744"/>
      <c r="FH1031" s="744"/>
      <c r="FI1031" s="744"/>
      <c r="FJ1031" s="744"/>
      <c r="FK1031" s="744"/>
      <c r="FL1031" s="744"/>
      <c r="FM1031" s="744"/>
      <c r="FN1031" s="744"/>
      <c r="FO1031" s="744"/>
      <c r="FP1031" s="744"/>
      <c r="FQ1031" s="744"/>
      <c r="FR1031" s="744"/>
      <c r="FS1031" s="744"/>
      <c r="FT1031" s="744"/>
      <c r="FU1031" s="744"/>
      <c r="FV1031" s="744"/>
      <c r="FW1031" s="744"/>
      <c r="FX1031" s="744"/>
      <c r="FY1031" s="744"/>
      <c r="FZ1031" s="744"/>
      <c r="GA1031" s="744"/>
      <c r="GB1031" s="744"/>
      <c r="GC1031" s="744"/>
      <c r="GD1031" s="744"/>
      <c r="GE1031" s="744"/>
      <c r="GF1031" s="744"/>
      <c r="GG1031" s="744"/>
      <c r="GH1031" s="744"/>
      <c r="GI1031" s="744"/>
      <c r="GJ1031" s="744"/>
      <c r="GK1031" s="744"/>
      <c r="GL1031" s="744"/>
      <c r="GM1031" s="744"/>
      <c r="GN1031" s="744"/>
      <c r="GO1031" s="744"/>
      <c r="GP1031" s="744"/>
      <c r="GQ1031" s="744"/>
      <c r="GR1031" s="744"/>
      <c r="GS1031" s="744"/>
      <c r="GT1031" s="744"/>
      <c r="GU1031" s="744"/>
      <c r="GV1031" s="744"/>
      <c r="GW1031" s="744"/>
      <c r="GX1031" s="744"/>
      <c r="GY1031" s="744"/>
      <c r="GZ1031" s="744"/>
      <c r="HA1031" s="744"/>
      <c r="HB1031" s="744"/>
      <c r="HC1031" s="744"/>
      <c r="HD1031" s="744"/>
      <c r="HE1031" s="744"/>
      <c r="HF1031" s="744"/>
      <c r="HG1031" s="744"/>
      <c r="HH1031" s="744"/>
      <c r="HI1031" s="744"/>
      <c r="HJ1031" s="744"/>
      <c r="HK1031" s="744"/>
      <c r="HL1031" s="744"/>
      <c r="HM1031" s="744"/>
      <c r="HN1031" s="744"/>
      <c r="HO1031" s="744"/>
      <c r="HP1031" s="744"/>
      <c r="HQ1031" s="744"/>
      <c r="HR1031" s="744"/>
      <c r="HS1031" s="744"/>
      <c r="HT1031" s="744"/>
      <c r="HU1031" s="744"/>
      <c r="HV1031" s="744"/>
      <c r="HW1031" s="744"/>
      <c r="HX1031" s="744"/>
      <c r="HY1031" s="744"/>
      <c r="HZ1031" s="744"/>
      <c r="IA1031" s="744"/>
      <c r="IB1031" s="744"/>
      <c r="IC1031" s="744"/>
      <c r="ID1031" s="744"/>
      <c r="IE1031" s="744"/>
      <c r="IF1031" s="744"/>
      <c r="IG1031" s="744"/>
      <c r="IH1031" s="744"/>
      <c r="II1031" s="744"/>
      <c r="IJ1031" s="744"/>
      <c r="IK1031" s="744"/>
      <c r="IL1031" s="744"/>
      <c r="IM1031" s="744"/>
      <c r="IN1031" s="744"/>
      <c r="IO1031" s="744"/>
      <c r="IP1031" s="744"/>
      <c r="IQ1031" s="744"/>
      <c r="IR1031" s="744"/>
      <c r="IS1031" s="744"/>
      <c r="IT1031" s="744"/>
      <c r="IU1031" s="744"/>
      <c r="IV1031" s="744"/>
    </row>
    <row r="1032" spans="1:256" s="642" customFormat="1" x14ac:dyDescent="0.25">
      <c r="A1032" s="692"/>
      <c r="B1032" s="692"/>
      <c r="C1032" s="692"/>
      <c r="D1032" s="680"/>
      <c r="E1032" s="692"/>
      <c r="F1032" s="680"/>
      <c r="G1032" s="684"/>
      <c r="H1032" s="680"/>
      <c r="I1032" s="723"/>
      <c r="J1032" s="723"/>
      <c r="K1032" s="723"/>
      <c r="L1032" s="674"/>
      <c r="M1032" s="674"/>
      <c r="N1032" s="674"/>
      <c r="O1032" s="674"/>
      <c r="P1032" s="674"/>
    </row>
    <row r="1033" spans="1:256" s="642" customFormat="1" ht="24" x14ac:dyDescent="0.25">
      <c r="A1033" s="662" t="s">
        <v>1705</v>
      </c>
      <c r="B1033" s="675"/>
      <c r="C1033" s="663" t="s">
        <v>1750</v>
      </c>
      <c r="D1033" s="741" t="s">
        <v>1751</v>
      </c>
      <c r="E1033" s="631" t="s">
        <v>251</v>
      </c>
      <c r="F1033" s="632"/>
      <c r="G1033" s="742">
        <v>28.1</v>
      </c>
      <c r="H1033" s="632">
        <v>55</v>
      </c>
      <c r="I1033" s="743">
        <f>G1033</f>
        <v>28.1</v>
      </c>
      <c r="J1033" s="677"/>
      <c r="K1033" s="677">
        <f>I1033+J1033</f>
        <v>28.1</v>
      </c>
      <c r="L1033" s="622">
        <f>H1033*I1033</f>
        <v>1545.5</v>
      </c>
      <c r="M1033" s="622">
        <f>H1033*J1033</f>
        <v>0</v>
      </c>
      <c r="N1033" s="622">
        <f>L1033+M1033</f>
        <v>1545.5</v>
      </c>
      <c r="O1033" s="622">
        <f>N1033*$P$4</f>
        <v>379.57480000000004</v>
      </c>
      <c r="P1033" s="622">
        <f>N1033+O1033</f>
        <v>1925.0748000000001</v>
      </c>
    </row>
    <row r="1034" spans="1:256" s="642" customFormat="1" x14ac:dyDescent="0.25">
      <c r="A1034" s="745"/>
      <c r="B1034" s="745"/>
      <c r="C1034" s="746"/>
      <c r="D1034" s="700"/>
      <c r="E1034" s="701"/>
      <c r="F1034" s="702"/>
      <c r="G1034" s="747"/>
      <c r="H1034" s="702"/>
      <c r="I1034" s="704"/>
      <c r="J1034" s="748"/>
      <c r="K1034" s="748"/>
      <c r="L1034" s="748"/>
      <c r="M1034" s="748"/>
      <c r="N1034" s="748"/>
      <c r="O1034" s="748"/>
      <c r="P1034" s="748"/>
      <c r="Q1034" s="708"/>
      <c r="R1034" s="708"/>
      <c r="S1034" s="708"/>
      <c r="T1034" s="708"/>
      <c r="U1034" s="708"/>
      <c r="V1034" s="708"/>
      <c r="W1034" s="708"/>
      <c r="X1034" s="708"/>
      <c r="Y1034" s="708"/>
      <c r="Z1034" s="708"/>
      <c r="AA1034" s="708"/>
      <c r="AB1034" s="708"/>
      <c r="AC1034" s="708"/>
      <c r="AD1034" s="708"/>
      <c r="AE1034" s="708"/>
      <c r="AF1034" s="708"/>
      <c r="AG1034" s="708"/>
      <c r="AH1034" s="708"/>
      <c r="AI1034" s="708"/>
      <c r="AJ1034" s="708"/>
      <c r="AK1034" s="708"/>
      <c r="AL1034" s="708"/>
      <c r="AM1034" s="708"/>
      <c r="AN1034" s="708"/>
      <c r="AO1034" s="708"/>
      <c r="AP1034" s="708"/>
      <c r="AQ1034" s="708"/>
      <c r="AR1034" s="708"/>
      <c r="AS1034" s="708"/>
      <c r="AT1034" s="708"/>
      <c r="AU1034" s="708"/>
      <c r="AV1034" s="708"/>
      <c r="AW1034" s="708"/>
      <c r="AX1034" s="708"/>
      <c r="AY1034" s="708"/>
      <c r="AZ1034" s="708"/>
      <c r="BA1034" s="708"/>
      <c r="BB1034" s="708"/>
      <c r="BC1034" s="708"/>
      <c r="BD1034" s="708"/>
      <c r="BE1034" s="708"/>
      <c r="BF1034" s="708"/>
      <c r="BG1034" s="708"/>
      <c r="BH1034" s="708"/>
      <c r="BI1034" s="708"/>
      <c r="BJ1034" s="708"/>
      <c r="BK1034" s="708"/>
      <c r="BL1034" s="708"/>
      <c r="BM1034" s="708"/>
      <c r="BN1034" s="708"/>
      <c r="BO1034" s="708"/>
      <c r="BP1034" s="708"/>
      <c r="BQ1034" s="708"/>
      <c r="BR1034" s="708"/>
      <c r="BS1034" s="708"/>
      <c r="BT1034" s="708"/>
      <c r="BU1034" s="708"/>
      <c r="BV1034" s="708"/>
      <c r="BW1034" s="708"/>
      <c r="BX1034" s="708"/>
      <c r="BY1034" s="708"/>
      <c r="BZ1034" s="708"/>
      <c r="CA1034" s="708"/>
      <c r="CB1034" s="708"/>
      <c r="CC1034" s="708"/>
      <c r="CD1034" s="708"/>
      <c r="CE1034" s="708"/>
      <c r="CF1034" s="708"/>
      <c r="CG1034" s="708"/>
      <c r="CH1034" s="708"/>
      <c r="CI1034" s="708"/>
      <c r="CJ1034" s="708"/>
      <c r="CK1034" s="708"/>
      <c r="CL1034" s="708"/>
      <c r="CM1034" s="708"/>
      <c r="CN1034" s="708"/>
      <c r="CO1034" s="708"/>
      <c r="CP1034" s="708"/>
      <c r="CQ1034" s="708"/>
      <c r="CR1034" s="708"/>
      <c r="CS1034" s="708"/>
      <c r="CT1034" s="708"/>
      <c r="CU1034" s="708"/>
      <c r="CV1034" s="708"/>
      <c r="CW1034" s="708"/>
      <c r="CX1034" s="708"/>
      <c r="CY1034" s="708"/>
      <c r="CZ1034" s="708"/>
      <c r="DA1034" s="708"/>
      <c r="DB1034" s="708"/>
      <c r="DC1034" s="708"/>
      <c r="DD1034" s="708"/>
      <c r="DE1034" s="708"/>
      <c r="DF1034" s="708"/>
      <c r="DG1034" s="708"/>
      <c r="DH1034" s="708"/>
      <c r="DI1034" s="708"/>
      <c r="DJ1034" s="708"/>
      <c r="DK1034" s="708"/>
      <c r="DL1034" s="708"/>
      <c r="DM1034" s="708"/>
      <c r="DN1034" s="708"/>
      <c r="DO1034" s="708"/>
      <c r="DP1034" s="708"/>
      <c r="DQ1034" s="708"/>
      <c r="DR1034" s="708"/>
      <c r="DS1034" s="708"/>
      <c r="DT1034" s="708"/>
      <c r="DU1034" s="708"/>
      <c r="DV1034" s="708"/>
      <c r="DW1034" s="708"/>
      <c r="DX1034" s="708"/>
      <c r="DY1034" s="708"/>
      <c r="DZ1034" s="708"/>
      <c r="EA1034" s="708"/>
      <c r="EB1034" s="708"/>
      <c r="EC1034" s="708"/>
      <c r="ED1034" s="708"/>
      <c r="EE1034" s="708"/>
      <c r="EF1034" s="708"/>
      <c r="EG1034" s="708"/>
      <c r="EH1034" s="708"/>
      <c r="EI1034" s="708"/>
      <c r="EJ1034" s="708"/>
      <c r="EK1034" s="708"/>
      <c r="EL1034" s="708"/>
      <c r="EM1034" s="708"/>
      <c r="EN1034" s="708"/>
      <c r="EO1034" s="708"/>
      <c r="EP1034" s="708"/>
      <c r="EQ1034" s="708"/>
      <c r="ER1034" s="708"/>
      <c r="ES1034" s="708"/>
      <c r="ET1034" s="708"/>
      <c r="EU1034" s="708"/>
      <c r="EV1034" s="708"/>
      <c r="EW1034" s="708"/>
      <c r="EX1034" s="708"/>
      <c r="EY1034" s="708"/>
      <c r="EZ1034" s="708"/>
      <c r="FA1034" s="708"/>
      <c r="FB1034" s="708"/>
      <c r="FC1034" s="708"/>
      <c r="FD1034" s="708"/>
      <c r="FE1034" s="708"/>
      <c r="FF1034" s="708"/>
      <c r="FG1034" s="708"/>
      <c r="FH1034" s="708"/>
      <c r="FI1034" s="708"/>
      <c r="FJ1034" s="708"/>
      <c r="FK1034" s="708"/>
      <c r="FL1034" s="708"/>
      <c r="FM1034" s="708"/>
      <c r="FN1034" s="708"/>
      <c r="FO1034" s="708"/>
      <c r="FP1034" s="708"/>
      <c r="FQ1034" s="708"/>
      <c r="FR1034" s="708"/>
      <c r="FS1034" s="708"/>
      <c r="FT1034" s="708"/>
      <c r="FU1034" s="708"/>
      <c r="FV1034" s="708"/>
      <c r="FW1034" s="708"/>
      <c r="FX1034" s="708"/>
      <c r="FY1034" s="708"/>
      <c r="FZ1034" s="708"/>
      <c r="GA1034" s="708"/>
      <c r="GB1034" s="708"/>
      <c r="GC1034" s="708"/>
      <c r="GD1034" s="708"/>
      <c r="GE1034" s="708"/>
      <c r="GF1034" s="708"/>
      <c r="GG1034" s="708"/>
      <c r="GH1034" s="708"/>
      <c r="GI1034" s="708"/>
      <c r="GJ1034" s="708"/>
      <c r="GK1034" s="708"/>
      <c r="GL1034" s="708"/>
      <c r="GM1034" s="708"/>
      <c r="GN1034" s="708"/>
      <c r="GO1034" s="708"/>
      <c r="GP1034" s="708"/>
      <c r="GQ1034" s="708"/>
      <c r="GR1034" s="708"/>
      <c r="GS1034" s="708"/>
      <c r="GT1034" s="708"/>
      <c r="GU1034" s="708"/>
      <c r="GV1034" s="708"/>
      <c r="GW1034" s="708"/>
      <c r="GX1034" s="708"/>
      <c r="GY1034" s="708"/>
      <c r="GZ1034" s="708"/>
      <c r="HA1034" s="708"/>
      <c r="HB1034" s="708"/>
      <c r="HC1034" s="708"/>
      <c r="HD1034" s="708"/>
      <c r="HE1034" s="708"/>
      <c r="HF1034" s="708"/>
      <c r="HG1034" s="708"/>
      <c r="HH1034" s="708"/>
      <c r="HI1034" s="708"/>
      <c r="HJ1034" s="708"/>
      <c r="HK1034" s="708"/>
      <c r="HL1034" s="708"/>
      <c r="HM1034" s="708"/>
      <c r="HN1034" s="708"/>
      <c r="HO1034" s="708"/>
      <c r="HP1034" s="708"/>
      <c r="HQ1034" s="708"/>
      <c r="HR1034" s="708"/>
      <c r="HS1034" s="708"/>
      <c r="HT1034" s="708"/>
      <c r="HU1034" s="708"/>
      <c r="HV1034" s="708"/>
      <c r="HW1034" s="708"/>
      <c r="HX1034" s="708"/>
      <c r="HY1034" s="708"/>
      <c r="HZ1034" s="708"/>
      <c r="IA1034" s="708"/>
      <c r="IB1034" s="708"/>
      <c r="IC1034" s="708"/>
      <c r="ID1034" s="708"/>
      <c r="IE1034" s="708"/>
      <c r="IF1034" s="708"/>
      <c r="IG1034" s="708"/>
      <c r="IH1034" s="708"/>
      <c r="II1034" s="708"/>
      <c r="IJ1034" s="708"/>
      <c r="IK1034" s="708"/>
      <c r="IL1034" s="708"/>
      <c r="IM1034" s="708"/>
      <c r="IN1034" s="708"/>
      <c r="IO1034" s="708"/>
      <c r="IP1034" s="708"/>
      <c r="IQ1034" s="708"/>
      <c r="IR1034" s="708"/>
      <c r="IS1034" s="708"/>
      <c r="IT1034" s="708"/>
      <c r="IU1034" s="708"/>
      <c r="IV1034" s="708"/>
    </row>
    <row r="1035" spans="1:256" s="642" customFormat="1" ht="24" x14ac:dyDescent="0.25">
      <c r="A1035" s="675" t="s">
        <v>1705</v>
      </c>
      <c r="B1035" s="675"/>
      <c r="C1035" s="675" t="s">
        <v>1752</v>
      </c>
      <c r="D1035" s="740" t="s">
        <v>1753</v>
      </c>
      <c r="E1035" s="675" t="s">
        <v>251</v>
      </c>
      <c r="F1035" s="620"/>
      <c r="G1035" s="742">
        <v>59.8</v>
      </c>
      <c r="H1035" s="620">
        <v>45</v>
      </c>
      <c r="I1035" s="743">
        <f>G1035</f>
        <v>59.8</v>
      </c>
      <c r="J1035" s="665"/>
      <c r="K1035" s="665">
        <f>I1035+J1035</f>
        <v>59.8</v>
      </c>
      <c r="L1035" s="622">
        <f>H1035*I1035</f>
        <v>2691</v>
      </c>
      <c r="M1035" s="622">
        <f>H1035*J1035</f>
        <v>0</v>
      </c>
      <c r="N1035" s="622">
        <f>L1035+M1035</f>
        <v>2691</v>
      </c>
      <c r="O1035" s="622">
        <f>N1035*$P$4</f>
        <v>660.90960000000007</v>
      </c>
      <c r="P1035" s="622">
        <f>N1035+O1035</f>
        <v>3351.9096</v>
      </c>
      <c r="Q1035" s="609"/>
      <c r="R1035" s="609"/>
      <c r="S1035" s="609"/>
      <c r="T1035" s="609"/>
      <c r="U1035" s="609"/>
      <c r="V1035" s="609"/>
      <c r="W1035" s="609"/>
      <c r="X1035" s="609"/>
      <c r="Y1035" s="609"/>
      <c r="Z1035" s="609"/>
      <c r="AA1035" s="609"/>
      <c r="AB1035" s="609"/>
      <c r="AC1035" s="609"/>
      <c r="AD1035" s="609"/>
      <c r="AE1035" s="609"/>
      <c r="AF1035" s="609"/>
      <c r="AG1035" s="609"/>
      <c r="AH1035" s="609"/>
      <c r="AI1035" s="609"/>
      <c r="AJ1035" s="609"/>
      <c r="AK1035" s="609"/>
      <c r="AL1035" s="609"/>
      <c r="AM1035" s="609"/>
      <c r="AN1035" s="609"/>
      <c r="AO1035" s="609"/>
      <c r="AP1035" s="609"/>
      <c r="AQ1035" s="609"/>
      <c r="AR1035" s="609"/>
      <c r="AS1035" s="609"/>
      <c r="AT1035" s="609"/>
      <c r="AU1035" s="609"/>
      <c r="AV1035" s="609"/>
      <c r="AW1035" s="609"/>
      <c r="AX1035" s="609"/>
      <c r="AY1035" s="609"/>
      <c r="AZ1035" s="609"/>
      <c r="BA1035" s="609"/>
      <c r="BB1035" s="609"/>
      <c r="BC1035" s="609"/>
      <c r="BD1035" s="609"/>
      <c r="BE1035" s="609"/>
      <c r="BF1035" s="609"/>
      <c r="BG1035" s="609"/>
      <c r="BH1035" s="609"/>
      <c r="BI1035" s="609"/>
      <c r="BJ1035" s="609"/>
      <c r="BK1035" s="609"/>
      <c r="BL1035" s="609"/>
      <c r="BM1035" s="609"/>
      <c r="BN1035" s="609"/>
      <c r="BO1035" s="609"/>
      <c r="BP1035" s="609"/>
      <c r="BQ1035" s="609"/>
      <c r="BR1035" s="609"/>
      <c r="BS1035" s="609"/>
      <c r="BT1035" s="609"/>
      <c r="BU1035" s="609"/>
      <c r="BV1035" s="609"/>
      <c r="BW1035" s="609"/>
      <c r="BX1035" s="609"/>
      <c r="BY1035" s="609"/>
      <c r="BZ1035" s="609"/>
      <c r="CA1035" s="609"/>
      <c r="CB1035" s="609"/>
      <c r="CC1035" s="609"/>
      <c r="CD1035" s="609"/>
      <c r="CE1035" s="609"/>
      <c r="CF1035" s="609"/>
      <c r="CG1035" s="609"/>
      <c r="CH1035" s="609"/>
      <c r="CI1035" s="609"/>
      <c r="CJ1035" s="609"/>
      <c r="CK1035" s="609"/>
      <c r="CL1035" s="609"/>
      <c r="CM1035" s="609"/>
      <c r="CN1035" s="609"/>
      <c r="CO1035" s="609"/>
      <c r="CP1035" s="609"/>
      <c r="CQ1035" s="609"/>
      <c r="CR1035" s="609"/>
      <c r="CS1035" s="609"/>
      <c r="CT1035" s="609"/>
      <c r="CU1035" s="609"/>
      <c r="CV1035" s="609"/>
      <c r="CW1035" s="609"/>
      <c r="CX1035" s="609"/>
      <c r="CY1035" s="609"/>
      <c r="CZ1035" s="609"/>
      <c r="DA1035" s="609"/>
      <c r="DB1035" s="609"/>
      <c r="DC1035" s="609"/>
      <c r="DD1035" s="609"/>
      <c r="DE1035" s="609"/>
      <c r="DF1035" s="609"/>
      <c r="DG1035" s="609"/>
      <c r="DH1035" s="609"/>
      <c r="DI1035" s="609"/>
      <c r="DJ1035" s="609"/>
      <c r="DK1035" s="609"/>
      <c r="DL1035" s="609"/>
      <c r="DM1035" s="609"/>
      <c r="DN1035" s="609"/>
      <c r="DO1035" s="609"/>
      <c r="DP1035" s="609"/>
      <c r="DQ1035" s="609"/>
      <c r="DR1035" s="609"/>
      <c r="DS1035" s="609"/>
      <c r="DT1035" s="609"/>
      <c r="DU1035" s="609"/>
      <c r="DV1035" s="609"/>
      <c r="DW1035" s="609"/>
      <c r="DX1035" s="609"/>
      <c r="DY1035" s="609"/>
      <c r="DZ1035" s="609"/>
      <c r="EA1035" s="609"/>
      <c r="EB1035" s="609"/>
      <c r="EC1035" s="609"/>
      <c r="ED1035" s="609"/>
      <c r="EE1035" s="609"/>
      <c r="EF1035" s="609"/>
      <c r="EG1035" s="609"/>
      <c r="EH1035" s="609"/>
      <c r="EI1035" s="609"/>
      <c r="EJ1035" s="609"/>
      <c r="EK1035" s="609"/>
      <c r="EL1035" s="609"/>
      <c r="EM1035" s="609"/>
      <c r="EN1035" s="609"/>
      <c r="EO1035" s="609"/>
      <c r="EP1035" s="609"/>
      <c r="EQ1035" s="609"/>
      <c r="ER1035" s="609"/>
      <c r="ES1035" s="609"/>
      <c r="ET1035" s="609"/>
      <c r="EU1035" s="609"/>
      <c r="EV1035" s="609"/>
      <c r="EW1035" s="609"/>
      <c r="EX1035" s="609"/>
      <c r="EY1035" s="609"/>
      <c r="EZ1035" s="609"/>
      <c r="FA1035" s="609"/>
      <c r="FB1035" s="609"/>
      <c r="FC1035" s="609"/>
      <c r="FD1035" s="609"/>
      <c r="FE1035" s="609"/>
      <c r="FF1035" s="609"/>
      <c r="FG1035" s="609"/>
      <c r="FH1035" s="609"/>
      <c r="FI1035" s="609"/>
      <c r="FJ1035" s="609"/>
      <c r="FK1035" s="609"/>
      <c r="FL1035" s="609"/>
      <c r="FM1035" s="609"/>
      <c r="FN1035" s="609"/>
      <c r="FO1035" s="609"/>
      <c r="FP1035" s="609"/>
      <c r="FQ1035" s="609"/>
      <c r="FR1035" s="609"/>
      <c r="FS1035" s="609"/>
      <c r="FT1035" s="609"/>
      <c r="FU1035" s="609"/>
      <c r="FV1035" s="609"/>
      <c r="FW1035" s="609"/>
      <c r="FX1035" s="609"/>
      <c r="FY1035" s="609"/>
      <c r="FZ1035" s="609"/>
      <c r="GA1035" s="609"/>
      <c r="GB1035" s="609"/>
      <c r="GC1035" s="609"/>
      <c r="GD1035" s="609"/>
      <c r="GE1035" s="609"/>
      <c r="GF1035" s="609"/>
      <c r="GG1035" s="609"/>
      <c r="GH1035" s="609"/>
      <c r="GI1035" s="609"/>
      <c r="GJ1035" s="609"/>
      <c r="GK1035" s="609"/>
      <c r="GL1035" s="609"/>
      <c r="GM1035" s="609"/>
      <c r="GN1035" s="609"/>
      <c r="GO1035" s="609"/>
      <c r="GP1035" s="609"/>
      <c r="GQ1035" s="609"/>
      <c r="GR1035" s="609"/>
      <c r="GS1035" s="609"/>
      <c r="GT1035" s="609"/>
      <c r="GU1035" s="609"/>
      <c r="GV1035" s="609"/>
      <c r="GW1035" s="609"/>
      <c r="GX1035" s="609"/>
      <c r="GY1035" s="609"/>
      <c r="GZ1035" s="609"/>
      <c r="HA1035" s="609"/>
      <c r="HB1035" s="609"/>
      <c r="HC1035" s="609"/>
      <c r="HD1035" s="609"/>
      <c r="HE1035" s="609"/>
      <c r="HF1035" s="609"/>
      <c r="HG1035" s="609"/>
      <c r="HH1035" s="609"/>
      <c r="HI1035" s="609"/>
      <c r="HJ1035" s="609"/>
      <c r="HK1035" s="609"/>
      <c r="HL1035" s="609"/>
      <c r="HM1035" s="609"/>
      <c r="HN1035" s="609"/>
      <c r="HO1035" s="609"/>
      <c r="HP1035" s="609"/>
      <c r="HQ1035" s="609"/>
      <c r="HR1035" s="609"/>
      <c r="HS1035" s="609"/>
      <c r="HT1035" s="609"/>
      <c r="HU1035" s="609"/>
      <c r="HV1035" s="609"/>
      <c r="HW1035" s="609"/>
      <c r="HX1035" s="609"/>
      <c r="HY1035" s="609"/>
      <c r="HZ1035" s="609"/>
      <c r="IA1035" s="609"/>
      <c r="IB1035" s="609"/>
      <c r="IC1035" s="609"/>
      <c r="ID1035" s="609"/>
      <c r="IE1035" s="609"/>
      <c r="IF1035" s="609"/>
      <c r="IG1035" s="609"/>
      <c r="IH1035" s="609"/>
      <c r="II1035" s="609"/>
      <c r="IJ1035" s="609"/>
      <c r="IK1035" s="609"/>
      <c r="IL1035" s="609"/>
      <c r="IM1035" s="609"/>
      <c r="IN1035" s="609"/>
      <c r="IO1035" s="609"/>
      <c r="IP1035" s="609"/>
      <c r="IQ1035" s="609"/>
      <c r="IR1035" s="609"/>
      <c r="IS1035" s="609"/>
      <c r="IT1035" s="609"/>
      <c r="IU1035" s="609"/>
      <c r="IV1035" s="609"/>
    </row>
    <row r="1036" spans="1:256" s="642" customFormat="1" x14ac:dyDescent="0.25">
      <c r="A1036" s="634"/>
      <c r="B1036" s="634"/>
      <c r="C1036" s="634"/>
      <c r="D1036" s="635"/>
      <c r="E1036" s="634"/>
      <c r="F1036" s="635"/>
      <c r="G1036" s="681"/>
      <c r="H1036" s="635"/>
      <c r="I1036" s="635"/>
      <c r="J1036" s="723"/>
      <c r="K1036" s="635"/>
      <c r="L1036" s="635"/>
      <c r="M1036" s="635"/>
      <c r="N1036" s="635"/>
      <c r="O1036" s="635"/>
      <c r="P1036" s="635"/>
    </row>
    <row r="1037" spans="1:256" s="642" customFormat="1" ht="24" x14ac:dyDescent="0.25">
      <c r="A1037" s="662"/>
      <c r="B1037" s="696"/>
      <c r="C1037" s="663" t="s">
        <v>1754</v>
      </c>
      <c r="D1037" s="630" t="s">
        <v>1374</v>
      </c>
      <c r="E1037" s="631" t="s">
        <v>248</v>
      </c>
      <c r="F1037" s="632" t="s">
        <v>1207</v>
      </c>
      <c r="G1037" s="664"/>
      <c r="H1037" s="632">
        <v>80</v>
      </c>
      <c r="I1037" s="710">
        <f>SUM(I1038:I1041)</f>
        <v>2.34</v>
      </c>
      <c r="J1037" s="677">
        <f>SUM(J1038:J1041)</f>
        <v>2.88</v>
      </c>
      <c r="K1037" s="677">
        <f>I1037+J1037</f>
        <v>5.22</v>
      </c>
      <c r="L1037" s="622">
        <f>H1037*I1037</f>
        <v>187.2</v>
      </c>
      <c r="M1037" s="622">
        <f>H1037*J1037</f>
        <v>230.39999999999998</v>
      </c>
      <c r="N1037" s="622">
        <f>L1037+M1037</f>
        <v>417.59999999999997</v>
      </c>
      <c r="O1037" s="622">
        <f>N1037*$P$4</f>
        <v>102.56255999999999</v>
      </c>
      <c r="P1037" s="622">
        <f>N1037+O1037</f>
        <v>520.16255999999998</v>
      </c>
    </row>
    <row r="1038" spans="1:256" s="642" customFormat="1" ht="48" x14ac:dyDescent="0.25">
      <c r="A1038" s="634" t="s">
        <v>278</v>
      </c>
      <c r="B1038" s="749" t="s">
        <v>1375</v>
      </c>
      <c r="C1038" s="634"/>
      <c r="D1038" s="635" t="s">
        <v>1376</v>
      </c>
      <c r="E1038" s="634" t="s">
        <v>248</v>
      </c>
      <c r="F1038" s="635">
        <v>1.02</v>
      </c>
      <c r="G1038" s="690">
        <v>2.2599999999999998</v>
      </c>
      <c r="H1038" s="635"/>
      <c r="I1038" s="684">
        <f>ROUND(F1038*G1038,2)</f>
        <v>2.31</v>
      </c>
      <c r="J1038" s="674"/>
      <c r="K1038" s="711"/>
      <c r="L1038" s="635"/>
      <c r="M1038" s="635"/>
      <c r="N1038" s="635"/>
      <c r="O1038" s="635"/>
      <c r="P1038" s="635"/>
    </row>
    <row r="1039" spans="1:256" s="642" customFormat="1" x14ac:dyDescent="0.25">
      <c r="A1039" s="634" t="s">
        <v>277</v>
      </c>
      <c r="B1039" s="749">
        <v>404</v>
      </c>
      <c r="C1039" s="634"/>
      <c r="D1039" s="635" t="s">
        <v>1210</v>
      </c>
      <c r="E1039" s="634" t="s">
        <v>248</v>
      </c>
      <c r="F1039" s="635">
        <v>0.01</v>
      </c>
      <c r="G1039" s="681">
        <v>2.67</v>
      </c>
      <c r="H1039" s="635"/>
      <c r="I1039" s="684">
        <f>ROUND(F1039*G1039,2)</f>
        <v>0.03</v>
      </c>
      <c r="J1039" s="674"/>
      <c r="K1039" s="711"/>
      <c r="L1039" s="635"/>
      <c r="M1039" s="635"/>
      <c r="N1039" s="635"/>
      <c r="O1039" s="635"/>
      <c r="P1039" s="635"/>
    </row>
    <row r="1040" spans="1:256" s="642" customFormat="1" x14ac:dyDescent="0.25">
      <c r="A1040" s="678" t="s">
        <v>277</v>
      </c>
      <c r="B1040" s="749">
        <v>2436</v>
      </c>
      <c r="C1040" s="634"/>
      <c r="D1040" s="635" t="s">
        <v>1069</v>
      </c>
      <c r="E1040" s="634" t="s">
        <v>229</v>
      </c>
      <c r="F1040" s="635">
        <v>0.13</v>
      </c>
      <c r="G1040" s="681">
        <v>12.57</v>
      </c>
      <c r="H1040" s="635"/>
      <c r="I1040" s="635"/>
      <c r="J1040" s="674">
        <f>ROUND(F1040*G1040,2)</f>
        <v>1.63</v>
      </c>
      <c r="K1040" s="711"/>
      <c r="L1040" s="635"/>
      <c r="M1040" s="635"/>
      <c r="N1040" s="635"/>
      <c r="O1040" s="635"/>
      <c r="P1040" s="635"/>
    </row>
    <row r="1041" spans="1:256" s="642" customFormat="1" x14ac:dyDescent="0.25">
      <c r="A1041" s="678" t="s">
        <v>277</v>
      </c>
      <c r="B1041" s="749">
        <v>247</v>
      </c>
      <c r="C1041" s="634"/>
      <c r="D1041" s="635" t="s">
        <v>1070</v>
      </c>
      <c r="E1041" s="634" t="s">
        <v>229</v>
      </c>
      <c r="F1041" s="635">
        <v>0.13</v>
      </c>
      <c r="G1041" s="681">
        <v>9.65</v>
      </c>
      <c r="H1041" s="635"/>
      <c r="I1041" s="635"/>
      <c r="J1041" s="674">
        <f>ROUND(F1041*G1041,2)</f>
        <v>1.25</v>
      </c>
      <c r="K1041" s="711"/>
      <c r="L1041" s="635"/>
      <c r="M1041" s="635"/>
      <c r="N1041" s="635"/>
      <c r="O1041" s="635"/>
      <c r="P1041" s="635"/>
    </row>
    <row r="1042" spans="1:256" s="642" customFormat="1" ht="9.75" customHeight="1" x14ac:dyDescent="0.25">
      <c r="A1042" s="678"/>
      <c r="B1042" s="749"/>
      <c r="C1042" s="634"/>
      <c r="D1042" s="635"/>
      <c r="E1042" s="634"/>
      <c r="F1042" s="635"/>
      <c r="G1042" s="681"/>
      <c r="H1042" s="635"/>
      <c r="I1042" s="635"/>
      <c r="J1042" s="674"/>
      <c r="K1042" s="711"/>
      <c r="L1042" s="635"/>
      <c r="M1042" s="635"/>
      <c r="N1042" s="635"/>
      <c r="O1042" s="635"/>
      <c r="P1042" s="635"/>
    </row>
    <row r="1043" spans="1:256" s="642" customFormat="1" x14ac:dyDescent="0.25">
      <c r="A1043" s="637"/>
      <c r="B1043" s="637"/>
      <c r="C1043" s="637" t="s">
        <v>1755</v>
      </c>
      <c r="D1043" s="639" t="s">
        <v>1756</v>
      </c>
      <c r="E1043" s="637"/>
      <c r="F1043" s="639"/>
      <c r="G1043" s="640"/>
      <c r="H1043" s="639"/>
      <c r="I1043" s="639"/>
      <c r="J1043" s="639"/>
      <c r="K1043" s="639"/>
      <c r="L1043" s="639"/>
      <c r="M1043" s="639"/>
      <c r="N1043" s="639"/>
      <c r="O1043" s="639"/>
      <c r="P1043" s="653">
        <f>SUM(P1045:P1074)</f>
        <v>6010.3189439999987</v>
      </c>
    </row>
    <row r="1044" spans="1:256" s="642" customFormat="1" ht="11.25" customHeight="1" x14ac:dyDescent="0.25">
      <c r="A1044" s="634"/>
      <c r="B1044" s="634"/>
      <c r="C1044" s="634"/>
      <c r="D1044" s="635"/>
      <c r="E1044" s="634"/>
      <c r="F1044" s="635"/>
      <c r="G1044" s="722"/>
      <c r="H1044" s="635"/>
      <c r="I1044" s="691"/>
      <c r="J1044" s="691"/>
      <c r="K1044" s="691"/>
      <c r="L1044" s="691"/>
      <c r="M1044" s="691"/>
      <c r="N1044" s="691"/>
      <c r="O1044" s="691"/>
      <c r="P1044" s="691"/>
    </row>
    <row r="1045" spans="1:256" s="642" customFormat="1" ht="24" x14ac:dyDescent="0.25">
      <c r="A1045" s="662"/>
      <c r="B1045" s="675"/>
      <c r="C1045" s="663" t="s">
        <v>1757</v>
      </c>
      <c r="D1045" s="630" t="s">
        <v>1758</v>
      </c>
      <c r="E1045" s="631" t="s">
        <v>251</v>
      </c>
      <c r="F1045" s="632"/>
      <c r="G1045" s="664"/>
      <c r="H1045" s="632">
        <v>158</v>
      </c>
      <c r="I1045" s="677">
        <f>SUM(I1046:I1048)</f>
        <v>22.9</v>
      </c>
      <c r="J1045" s="677">
        <f>SUM(J1046:J1048)</f>
        <v>3.0999999999999996</v>
      </c>
      <c r="K1045" s="677">
        <f>I1045+J1045</f>
        <v>26</v>
      </c>
      <c r="L1045" s="622">
        <f>H1045*I1045</f>
        <v>3618.2</v>
      </c>
      <c r="M1045" s="622">
        <f>H1045*J1045</f>
        <v>489.79999999999995</v>
      </c>
      <c r="N1045" s="622">
        <f>L1045+M1045</f>
        <v>4108</v>
      </c>
      <c r="O1045" s="622">
        <f>N1045*$P$4</f>
        <v>1008.9248</v>
      </c>
      <c r="P1045" s="622">
        <f>N1045+O1045</f>
        <v>5116.9247999999998</v>
      </c>
    </row>
    <row r="1046" spans="1:256" s="642" customFormat="1" ht="24" x14ac:dyDescent="0.25">
      <c r="A1046" s="634" t="s">
        <v>1705</v>
      </c>
      <c r="B1046" s="679"/>
      <c r="C1046" s="634"/>
      <c r="D1046" s="693" t="s">
        <v>1758</v>
      </c>
      <c r="E1046" s="634"/>
      <c r="F1046" s="635">
        <v>1</v>
      </c>
      <c r="G1046" s="694">
        <v>22.9</v>
      </c>
      <c r="H1046" s="635"/>
      <c r="I1046" s="691">
        <f>ROUND(F1046*G1046,2)</f>
        <v>22.9</v>
      </c>
      <c r="J1046" s="691"/>
      <c r="K1046" s="691"/>
      <c r="L1046" s="691"/>
      <c r="M1046" s="691"/>
      <c r="N1046" s="691"/>
      <c r="O1046" s="691"/>
      <c r="P1046" s="691"/>
    </row>
    <row r="1047" spans="1:256" s="642" customFormat="1" x14ac:dyDescent="0.25">
      <c r="A1047" s="634" t="s">
        <v>277</v>
      </c>
      <c r="B1047" s="634">
        <v>2439</v>
      </c>
      <c r="C1047" s="634"/>
      <c r="D1047" s="635" t="s">
        <v>1707</v>
      </c>
      <c r="E1047" s="634" t="s">
        <v>229</v>
      </c>
      <c r="F1047" s="635">
        <v>0.12</v>
      </c>
      <c r="G1047" s="681">
        <v>16.2</v>
      </c>
      <c r="H1047" s="635"/>
      <c r="I1047" s="691"/>
      <c r="J1047" s="691">
        <f>ROUND(F1047*G1047,2)</f>
        <v>1.94</v>
      </c>
      <c r="K1047" s="691"/>
      <c r="L1047" s="691"/>
      <c r="M1047" s="691"/>
      <c r="N1047" s="691"/>
      <c r="O1047" s="691"/>
      <c r="P1047" s="691"/>
    </row>
    <row r="1048" spans="1:256" s="642" customFormat="1" x14ac:dyDescent="0.25">
      <c r="A1048" s="634" t="s">
        <v>277</v>
      </c>
      <c r="B1048" s="634">
        <v>247</v>
      </c>
      <c r="C1048" s="634"/>
      <c r="D1048" s="635" t="s">
        <v>1070</v>
      </c>
      <c r="E1048" s="634" t="s">
        <v>229</v>
      </c>
      <c r="F1048" s="635">
        <v>0.12</v>
      </c>
      <c r="G1048" s="681">
        <v>9.65</v>
      </c>
      <c r="H1048" s="635"/>
      <c r="I1048" s="691"/>
      <c r="J1048" s="691">
        <f>ROUND(F1048*G1048,2)</f>
        <v>1.1599999999999999</v>
      </c>
      <c r="K1048" s="691"/>
      <c r="L1048" s="691"/>
      <c r="M1048" s="691"/>
      <c r="N1048" s="691"/>
      <c r="O1048" s="691"/>
      <c r="P1048" s="691"/>
    </row>
    <row r="1049" spans="1:256" s="642" customFormat="1" ht="24" x14ac:dyDescent="0.25">
      <c r="A1049" s="662"/>
      <c r="B1049" s="662"/>
      <c r="C1049" s="663" t="s">
        <v>1759</v>
      </c>
      <c r="D1049" s="630" t="s">
        <v>1760</v>
      </c>
      <c r="E1049" s="631" t="s">
        <v>251</v>
      </c>
      <c r="F1049" s="632"/>
      <c r="G1049" s="664"/>
      <c r="H1049" s="632">
        <v>6</v>
      </c>
      <c r="I1049" s="677">
        <f>SUM(I1050:I1051)</f>
        <v>4.54</v>
      </c>
      <c r="J1049" s="677">
        <f>SUM(J1050:J1051)</f>
        <v>0.97</v>
      </c>
      <c r="K1049" s="677">
        <f>I1049+J1049</f>
        <v>5.51</v>
      </c>
      <c r="L1049" s="622">
        <f>H1049*I1049</f>
        <v>27.240000000000002</v>
      </c>
      <c r="M1049" s="622">
        <f>H1049*J1049</f>
        <v>5.82</v>
      </c>
      <c r="N1049" s="622">
        <f>L1049+M1049</f>
        <v>33.06</v>
      </c>
      <c r="O1049" s="622">
        <f>N1049*$P$4</f>
        <v>8.1195360000000019</v>
      </c>
      <c r="P1049" s="622">
        <f>N1049+O1049</f>
        <v>41.179536000000006</v>
      </c>
    </row>
    <row r="1050" spans="1:256" s="642" customFormat="1" x14ac:dyDescent="0.25">
      <c r="A1050" s="634" t="s">
        <v>1705</v>
      </c>
      <c r="B1050" s="679"/>
      <c r="C1050" s="634"/>
      <c r="D1050" s="693" t="s">
        <v>1761</v>
      </c>
      <c r="E1050" s="634"/>
      <c r="F1050" s="635">
        <v>1</v>
      </c>
      <c r="G1050" s="681">
        <v>4.54</v>
      </c>
      <c r="H1050" s="635"/>
      <c r="I1050" s="691">
        <f>ROUND(F1050*G1050,2)</f>
        <v>4.54</v>
      </c>
      <c r="J1050" s="691"/>
      <c r="K1050" s="691"/>
      <c r="L1050" s="691"/>
      <c r="M1050" s="691"/>
      <c r="N1050" s="691"/>
      <c r="O1050" s="691"/>
      <c r="P1050" s="691"/>
    </row>
    <row r="1051" spans="1:256" s="642" customFormat="1" x14ac:dyDescent="0.25">
      <c r="A1051" s="634" t="s">
        <v>277</v>
      </c>
      <c r="B1051" s="634">
        <v>247</v>
      </c>
      <c r="C1051" s="634"/>
      <c r="D1051" s="635" t="s">
        <v>1070</v>
      </c>
      <c r="E1051" s="634" t="s">
        <v>229</v>
      </c>
      <c r="F1051" s="635">
        <v>0.1</v>
      </c>
      <c r="G1051" s="681">
        <v>9.65</v>
      </c>
      <c r="H1051" s="635"/>
      <c r="I1051" s="691"/>
      <c r="J1051" s="691">
        <f>ROUND(F1051*G1051,2)</f>
        <v>0.97</v>
      </c>
      <c r="K1051" s="691"/>
      <c r="L1051" s="691"/>
      <c r="M1051" s="691"/>
      <c r="N1051" s="691"/>
      <c r="O1051" s="691"/>
      <c r="P1051" s="691"/>
    </row>
    <row r="1052" spans="1:256" s="642" customFormat="1" ht="24" x14ac:dyDescent="0.25">
      <c r="A1052" s="662"/>
      <c r="B1052" s="662"/>
      <c r="C1052" s="663" t="s">
        <v>1762</v>
      </c>
      <c r="D1052" s="630" t="s">
        <v>1763</v>
      </c>
      <c r="E1052" s="631" t="s">
        <v>251</v>
      </c>
      <c r="F1052" s="632"/>
      <c r="G1052" s="664"/>
      <c r="H1052" s="632">
        <v>12</v>
      </c>
      <c r="I1052" s="677">
        <f>SUM(I1053:I1054)</f>
        <v>5.29</v>
      </c>
      <c r="J1052" s="677">
        <f>SUM(J1053:J1054)</f>
        <v>0.97</v>
      </c>
      <c r="K1052" s="677">
        <f>I1052+J1052</f>
        <v>6.26</v>
      </c>
      <c r="L1052" s="622">
        <f>H1052*I1052</f>
        <v>63.480000000000004</v>
      </c>
      <c r="M1052" s="622">
        <f>H1052*J1052</f>
        <v>11.64</v>
      </c>
      <c r="N1052" s="622">
        <f>L1052+M1052</f>
        <v>75.12</v>
      </c>
      <c r="O1052" s="622">
        <f>N1052*$P$4</f>
        <v>18.449472000000004</v>
      </c>
      <c r="P1052" s="622">
        <f>N1052+O1052</f>
        <v>93.569472000000005</v>
      </c>
      <c r="Q1052" s="656"/>
      <c r="R1052" s="656"/>
      <c r="S1052" s="656"/>
      <c r="T1052" s="656"/>
      <c r="U1052" s="656"/>
      <c r="V1052" s="656"/>
      <c r="W1052" s="656"/>
      <c r="X1052" s="656"/>
      <c r="Y1052" s="656"/>
      <c r="Z1052" s="656"/>
      <c r="AA1052" s="656"/>
      <c r="AB1052" s="656"/>
      <c r="AC1052" s="656"/>
      <c r="AD1052" s="656"/>
      <c r="AE1052" s="656"/>
      <c r="AF1052" s="656"/>
      <c r="AG1052" s="656"/>
      <c r="AH1052" s="656"/>
      <c r="AI1052" s="656"/>
      <c r="AJ1052" s="656"/>
      <c r="AK1052" s="656"/>
      <c r="AL1052" s="656"/>
      <c r="AM1052" s="656"/>
      <c r="AN1052" s="656"/>
      <c r="AO1052" s="656"/>
      <c r="AP1052" s="656"/>
      <c r="AQ1052" s="656"/>
      <c r="AR1052" s="656"/>
      <c r="AS1052" s="656"/>
      <c r="AT1052" s="656"/>
      <c r="AU1052" s="656"/>
      <c r="AV1052" s="656"/>
      <c r="AW1052" s="656"/>
      <c r="AX1052" s="656"/>
      <c r="AY1052" s="656"/>
      <c r="AZ1052" s="656"/>
      <c r="BA1052" s="656"/>
      <c r="BB1052" s="656"/>
      <c r="BC1052" s="656"/>
      <c r="BD1052" s="656"/>
      <c r="BE1052" s="656"/>
      <c r="BF1052" s="656"/>
      <c r="BG1052" s="656"/>
      <c r="BH1052" s="656"/>
      <c r="BI1052" s="656"/>
      <c r="BJ1052" s="656"/>
      <c r="BK1052" s="656"/>
      <c r="BL1052" s="656"/>
      <c r="BM1052" s="656"/>
      <c r="BN1052" s="656"/>
      <c r="BO1052" s="656"/>
      <c r="BP1052" s="656"/>
      <c r="BQ1052" s="656"/>
      <c r="BR1052" s="656"/>
      <c r="BS1052" s="656"/>
      <c r="BT1052" s="656"/>
      <c r="BU1052" s="656"/>
      <c r="BV1052" s="656"/>
      <c r="BW1052" s="656"/>
      <c r="BX1052" s="656"/>
      <c r="BY1052" s="656"/>
      <c r="BZ1052" s="656"/>
      <c r="CA1052" s="656"/>
      <c r="CB1052" s="656"/>
      <c r="CC1052" s="656"/>
      <c r="CD1052" s="656"/>
      <c r="CE1052" s="656"/>
      <c r="CF1052" s="656"/>
      <c r="CG1052" s="656"/>
      <c r="CH1052" s="656"/>
      <c r="CI1052" s="656"/>
      <c r="CJ1052" s="656"/>
      <c r="CK1052" s="656"/>
      <c r="CL1052" s="656"/>
      <c r="CM1052" s="656"/>
      <c r="CN1052" s="656"/>
      <c r="CO1052" s="656"/>
      <c r="CP1052" s="656"/>
      <c r="CQ1052" s="656"/>
      <c r="CR1052" s="656"/>
      <c r="CS1052" s="656"/>
      <c r="CT1052" s="656"/>
      <c r="CU1052" s="656"/>
      <c r="CV1052" s="656"/>
      <c r="CW1052" s="656"/>
      <c r="CX1052" s="656"/>
      <c r="CY1052" s="656"/>
      <c r="CZ1052" s="656"/>
      <c r="DA1052" s="656"/>
      <c r="DB1052" s="656"/>
      <c r="DC1052" s="656"/>
      <c r="DD1052" s="656"/>
      <c r="DE1052" s="656"/>
      <c r="DF1052" s="656"/>
      <c r="DG1052" s="656"/>
      <c r="DH1052" s="656"/>
      <c r="DI1052" s="656"/>
      <c r="DJ1052" s="656"/>
      <c r="DK1052" s="656"/>
      <c r="DL1052" s="656"/>
      <c r="DM1052" s="656"/>
      <c r="DN1052" s="656"/>
      <c r="DO1052" s="656"/>
      <c r="DP1052" s="656"/>
      <c r="DQ1052" s="656"/>
      <c r="DR1052" s="656"/>
      <c r="DS1052" s="656"/>
      <c r="DT1052" s="656"/>
      <c r="DU1052" s="656"/>
      <c r="DV1052" s="656"/>
      <c r="DW1052" s="656"/>
      <c r="DX1052" s="656"/>
      <c r="DY1052" s="656"/>
      <c r="DZ1052" s="656"/>
      <c r="EA1052" s="656"/>
      <c r="EB1052" s="656"/>
      <c r="EC1052" s="656"/>
      <c r="ED1052" s="656"/>
      <c r="EE1052" s="656"/>
      <c r="EF1052" s="656"/>
      <c r="EG1052" s="656"/>
      <c r="EH1052" s="656"/>
      <c r="EI1052" s="656"/>
      <c r="EJ1052" s="656"/>
      <c r="EK1052" s="656"/>
      <c r="EL1052" s="656"/>
      <c r="EM1052" s="656"/>
      <c r="EN1052" s="656"/>
      <c r="EO1052" s="656"/>
      <c r="EP1052" s="656"/>
      <c r="EQ1052" s="656"/>
      <c r="ER1052" s="656"/>
      <c r="ES1052" s="656"/>
      <c r="ET1052" s="656"/>
      <c r="EU1052" s="656"/>
      <c r="EV1052" s="656"/>
      <c r="EW1052" s="656"/>
      <c r="EX1052" s="656"/>
      <c r="EY1052" s="656"/>
      <c r="EZ1052" s="656"/>
      <c r="FA1052" s="656"/>
      <c r="FB1052" s="656"/>
      <c r="FC1052" s="656"/>
      <c r="FD1052" s="656"/>
      <c r="FE1052" s="656"/>
      <c r="FF1052" s="656"/>
      <c r="FG1052" s="656"/>
      <c r="FH1052" s="656"/>
      <c r="FI1052" s="656"/>
      <c r="FJ1052" s="656"/>
      <c r="FK1052" s="656"/>
      <c r="FL1052" s="656"/>
      <c r="FM1052" s="656"/>
      <c r="FN1052" s="656"/>
      <c r="FO1052" s="656"/>
      <c r="FP1052" s="656"/>
      <c r="FQ1052" s="656"/>
      <c r="FR1052" s="656"/>
      <c r="FS1052" s="656"/>
      <c r="FT1052" s="656"/>
      <c r="FU1052" s="656"/>
      <c r="FV1052" s="656"/>
      <c r="FW1052" s="656"/>
      <c r="FX1052" s="656"/>
      <c r="FY1052" s="656"/>
      <c r="FZ1052" s="656"/>
      <c r="GA1052" s="656"/>
      <c r="GB1052" s="656"/>
      <c r="GC1052" s="656"/>
      <c r="GD1052" s="656"/>
      <c r="GE1052" s="656"/>
      <c r="GF1052" s="656"/>
      <c r="GG1052" s="656"/>
      <c r="GH1052" s="656"/>
      <c r="GI1052" s="656"/>
      <c r="GJ1052" s="656"/>
      <c r="GK1052" s="656"/>
      <c r="GL1052" s="656"/>
      <c r="GM1052" s="656"/>
      <c r="GN1052" s="656"/>
      <c r="GO1052" s="656"/>
      <c r="GP1052" s="656"/>
      <c r="GQ1052" s="656"/>
      <c r="GR1052" s="656"/>
      <c r="GS1052" s="656"/>
      <c r="GT1052" s="656"/>
      <c r="GU1052" s="656"/>
      <c r="GV1052" s="656"/>
      <c r="GW1052" s="656"/>
      <c r="GX1052" s="656"/>
      <c r="GY1052" s="656"/>
      <c r="GZ1052" s="656"/>
      <c r="HA1052" s="656"/>
      <c r="HB1052" s="656"/>
      <c r="HC1052" s="656"/>
      <c r="HD1052" s="656"/>
      <c r="HE1052" s="656"/>
      <c r="HF1052" s="656"/>
      <c r="HG1052" s="656"/>
      <c r="HH1052" s="656"/>
      <c r="HI1052" s="656"/>
      <c r="HJ1052" s="656"/>
      <c r="HK1052" s="656"/>
      <c r="HL1052" s="656"/>
      <c r="HM1052" s="656"/>
      <c r="HN1052" s="656"/>
      <c r="HO1052" s="656"/>
      <c r="HP1052" s="656"/>
      <c r="HQ1052" s="656"/>
      <c r="HR1052" s="656"/>
      <c r="HS1052" s="656"/>
      <c r="HT1052" s="656"/>
      <c r="HU1052" s="656"/>
      <c r="HV1052" s="656"/>
      <c r="HW1052" s="656"/>
      <c r="HX1052" s="656"/>
      <c r="HY1052" s="656"/>
      <c r="HZ1052" s="656"/>
      <c r="IA1052" s="656"/>
      <c r="IB1052" s="656"/>
      <c r="IC1052" s="656"/>
      <c r="ID1052" s="656"/>
      <c r="IE1052" s="656"/>
      <c r="IF1052" s="656"/>
      <c r="IG1052" s="656"/>
      <c r="IH1052" s="656"/>
      <c r="II1052" s="656"/>
      <c r="IJ1052" s="656"/>
      <c r="IK1052" s="656"/>
      <c r="IL1052" s="656"/>
      <c r="IM1052" s="656"/>
      <c r="IN1052" s="656"/>
      <c r="IO1052" s="656"/>
      <c r="IP1052" s="656"/>
      <c r="IQ1052" s="656"/>
      <c r="IR1052" s="656"/>
      <c r="IS1052" s="656"/>
      <c r="IT1052" s="656"/>
      <c r="IU1052" s="656"/>
      <c r="IV1052" s="656"/>
    </row>
    <row r="1053" spans="1:256" s="642" customFormat="1" x14ac:dyDescent="0.25">
      <c r="A1053" s="634" t="s">
        <v>1705</v>
      </c>
      <c r="B1053" s="679"/>
      <c r="C1053" s="634"/>
      <c r="D1053" s="693" t="s">
        <v>1764</v>
      </c>
      <c r="E1053" s="634"/>
      <c r="F1053" s="635">
        <v>1</v>
      </c>
      <c r="G1053" s="681">
        <v>5.29</v>
      </c>
      <c r="H1053" s="635"/>
      <c r="I1053" s="691">
        <f>ROUND(F1053*G1053,2)</f>
        <v>5.29</v>
      </c>
      <c r="J1053" s="691"/>
      <c r="K1053" s="635"/>
      <c r="L1053" s="635"/>
      <c r="M1053" s="635"/>
      <c r="N1053" s="635"/>
      <c r="O1053" s="635"/>
      <c r="P1053" s="635"/>
    </row>
    <row r="1054" spans="1:256" s="721" customFormat="1" x14ac:dyDescent="0.25">
      <c r="A1054" s="634" t="s">
        <v>277</v>
      </c>
      <c r="B1054" s="634">
        <v>247</v>
      </c>
      <c r="C1054" s="634"/>
      <c r="D1054" s="635" t="s">
        <v>1070</v>
      </c>
      <c r="E1054" s="634" t="s">
        <v>229</v>
      </c>
      <c r="F1054" s="635">
        <v>0.1</v>
      </c>
      <c r="G1054" s="681">
        <v>9.65</v>
      </c>
      <c r="H1054" s="635"/>
      <c r="I1054" s="691"/>
      <c r="J1054" s="691">
        <f>ROUND(F1054*G1054,2)</f>
        <v>0.97</v>
      </c>
      <c r="K1054" s="635"/>
      <c r="L1054" s="635"/>
      <c r="M1054" s="635"/>
      <c r="N1054" s="635"/>
      <c r="O1054" s="635"/>
      <c r="P1054" s="635"/>
    </row>
    <row r="1055" spans="1:256" s="642" customFormat="1" ht="24" x14ac:dyDescent="0.25">
      <c r="A1055" s="662"/>
      <c r="B1055" s="662"/>
      <c r="C1055" s="663" t="s">
        <v>1765</v>
      </c>
      <c r="D1055" s="630" t="s">
        <v>1466</v>
      </c>
      <c r="E1055" s="631" t="s">
        <v>251</v>
      </c>
      <c r="F1055" s="632"/>
      <c r="G1055" s="664"/>
      <c r="H1055" s="632">
        <v>27</v>
      </c>
      <c r="I1055" s="677">
        <f>SUM(I1056:I1057)</f>
        <v>8.48</v>
      </c>
      <c r="J1055" s="677">
        <f>SUM(J1056:J1057)</f>
        <v>0.97</v>
      </c>
      <c r="K1055" s="677">
        <f>I1055+J1055</f>
        <v>9.4500000000000011</v>
      </c>
      <c r="L1055" s="622">
        <f>H1055*I1055</f>
        <v>228.96</v>
      </c>
      <c r="M1055" s="622">
        <f>H1055*J1055</f>
        <v>26.189999999999998</v>
      </c>
      <c r="N1055" s="622">
        <f>L1055+M1055</f>
        <v>255.15</v>
      </c>
      <c r="O1055" s="622">
        <f>N1055*$P$4</f>
        <v>62.664840000000005</v>
      </c>
      <c r="P1055" s="622">
        <f>N1055+O1055</f>
        <v>317.81484</v>
      </c>
    </row>
    <row r="1056" spans="1:256" s="721" customFormat="1" ht="24" x14ac:dyDescent="0.25">
      <c r="A1056" s="634" t="s">
        <v>1705</v>
      </c>
      <c r="B1056" s="679"/>
      <c r="C1056" s="634"/>
      <c r="D1056" s="633" t="s">
        <v>1467</v>
      </c>
      <c r="E1056" s="634"/>
      <c r="F1056" s="635">
        <v>1</v>
      </c>
      <c r="G1056" s="681">
        <v>8.48</v>
      </c>
      <c r="H1056" s="635"/>
      <c r="I1056" s="691">
        <f>ROUND(F1056*G1056,2)</f>
        <v>8.48</v>
      </c>
      <c r="J1056" s="691"/>
      <c r="K1056" s="635"/>
      <c r="L1056" s="635"/>
      <c r="M1056" s="635"/>
      <c r="N1056" s="635"/>
      <c r="O1056" s="635"/>
      <c r="P1056" s="635"/>
      <c r="Q1056" s="656"/>
      <c r="R1056" s="656"/>
      <c r="S1056" s="656"/>
      <c r="T1056" s="656"/>
      <c r="U1056" s="656"/>
      <c r="V1056" s="656"/>
      <c r="W1056" s="656"/>
      <c r="X1056" s="656"/>
      <c r="Y1056" s="656"/>
      <c r="Z1056" s="656"/>
      <c r="AA1056" s="656"/>
      <c r="AB1056" s="656"/>
      <c r="AC1056" s="656"/>
      <c r="AD1056" s="656"/>
      <c r="AE1056" s="656"/>
      <c r="AF1056" s="656"/>
      <c r="AG1056" s="656"/>
      <c r="AH1056" s="656"/>
      <c r="AI1056" s="656"/>
      <c r="AJ1056" s="656"/>
      <c r="AK1056" s="656"/>
      <c r="AL1056" s="656"/>
      <c r="AM1056" s="656"/>
      <c r="AN1056" s="656"/>
      <c r="AO1056" s="656"/>
      <c r="AP1056" s="656"/>
      <c r="AQ1056" s="656"/>
      <c r="AR1056" s="656"/>
      <c r="AS1056" s="656"/>
      <c r="AT1056" s="656"/>
      <c r="AU1056" s="656"/>
      <c r="AV1056" s="656"/>
      <c r="AW1056" s="656"/>
      <c r="AX1056" s="656"/>
      <c r="AY1056" s="656"/>
      <c r="AZ1056" s="656"/>
      <c r="BA1056" s="656"/>
      <c r="BB1056" s="656"/>
      <c r="BC1056" s="656"/>
      <c r="BD1056" s="656"/>
      <c r="BE1056" s="656"/>
      <c r="BF1056" s="656"/>
      <c r="BG1056" s="656"/>
      <c r="BH1056" s="656"/>
      <c r="BI1056" s="656"/>
      <c r="BJ1056" s="656"/>
      <c r="BK1056" s="656"/>
      <c r="BL1056" s="656"/>
      <c r="BM1056" s="656"/>
      <c r="BN1056" s="656"/>
      <c r="BO1056" s="656"/>
      <c r="BP1056" s="656"/>
      <c r="BQ1056" s="656"/>
      <c r="BR1056" s="656"/>
      <c r="BS1056" s="656"/>
      <c r="BT1056" s="656"/>
      <c r="BU1056" s="656"/>
      <c r="BV1056" s="656"/>
      <c r="BW1056" s="656"/>
      <c r="BX1056" s="656"/>
      <c r="BY1056" s="656"/>
      <c r="BZ1056" s="656"/>
      <c r="CA1056" s="656"/>
      <c r="CB1056" s="656"/>
      <c r="CC1056" s="656"/>
      <c r="CD1056" s="656"/>
      <c r="CE1056" s="656"/>
      <c r="CF1056" s="656"/>
      <c r="CG1056" s="656"/>
      <c r="CH1056" s="656"/>
      <c r="CI1056" s="656"/>
      <c r="CJ1056" s="656"/>
      <c r="CK1056" s="656"/>
      <c r="CL1056" s="656"/>
      <c r="CM1056" s="656"/>
      <c r="CN1056" s="656"/>
      <c r="CO1056" s="656"/>
      <c r="CP1056" s="656"/>
      <c r="CQ1056" s="656"/>
      <c r="CR1056" s="656"/>
      <c r="CS1056" s="656"/>
      <c r="CT1056" s="656"/>
      <c r="CU1056" s="656"/>
      <c r="CV1056" s="656"/>
      <c r="CW1056" s="656"/>
      <c r="CX1056" s="656"/>
      <c r="CY1056" s="656"/>
      <c r="CZ1056" s="656"/>
      <c r="DA1056" s="656"/>
      <c r="DB1056" s="656"/>
      <c r="DC1056" s="656"/>
      <c r="DD1056" s="656"/>
      <c r="DE1056" s="656"/>
      <c r="DF1056" s="656"/>
      <c r="DG1056" s="656"/>
      <c r="DH1056" s="656"/>
      <c r="DI1056" s="656"/>
      <c r="DJ1056" s="656"/>
      <c r="DK1056" s="656"/>
      <c r="DL1056" s="656"/>
      <c r="DM1056" s="656"/>
      <c r="DN1056" s="656"/>
      <c r="DO1056" s="656"/>
      <c r="DP1056" s="656"/>
      <c r="DQ1056" s="656"/>
      <c r="DR1056" s="656"/>
      <c r="DS1056" s="656"/>
      <c r="DT1056" s="656"/>
      <c r="DU1056" s="656"/>
      <c r="DV1056" s="656"/>
      <c r="DW1056" s="656"/>
      <c r="DX1056" s="656"/>
      <c r="DY1056" s="656"/>
      <c r="DZ1056" s="656"/>
      <c r="EA1056" s="656"/>
      <c r="EB1056" s="656"/>
      <c r="EC1056" s="656"/>
      <c r="ED1056" s="656"/>
      <c r="EE1056" s="656"/>
      <c r="EF1056" s="656"/>
      <c r="EG1056" s="656"/>
      <c r="EH1056" s="656"/>
      <c r="EI1056" s="656"/>
      <c r="EJ1056" s="656"/>
      <c r="EK1056" s="656"/>
      <c r="EL1056" s="656"/>
      <c r="EM1056" s="656"/>
      <c r="EN1056" s="656"/>
      <c r="EO1056" s="656"/>
      <c r="EP1056" s="656"/>
      <c r="EQ1056" s="656"/>
      <c r="ER1056" s="656"/>
      <c r="ES1056" s="656"/>
      <c r="ET1056" s="656"/>
      <c r="EU1056" s="656"/>
      <c r="EV1056" s="656"/>
      <c r="EW1056" s="656"/>
      <c r="EX1056" s="656"/>
      <c r="EY1056" s="656"/>
      <c r="EZ1056" s="656"/>
      <c r="FA1056" s="656"/>
      <c r="FB1056" s="656"/>
      <c r="FC1056" s="656"/>
      <c r="FD1056" s="656"/>
      <c r="FE1056" s="656"/>
      <c r="FF1056" s="656"/>
      <c r="FG1056" s="656"/>
      <c r="FH1056" s="656"/>
      <c r="FI1056" s="656"/>
      <c r="FJ1056" s="656"/>
      <c r="FK1056" s="656"/>
      <c r="FL1056" s="656"/>
      <c r="FM1056" s="656"/>
      <c r="FN1056" s="656"/>
      <c r="FO1056" s="656"/>
      <c r="FP1056" s="656"/>
      <c r="FQ1056" s="656"/>
      <c r="FR1056" s="656"/>
      <c r="FS1056" s="656"/>
      <c r="FT1056" s="656"/>
      <c r="FU1056" s="656"/>
      <c r="FV1056" s="656"/>
      <c r="FW1056" s="656"/>
      <c r="FX1056" s="656"/>
      <c r="FY1056" s="656"/>
      <c r="FZ1056" s="656"/>
      <c r="GA1056" s="656"/>
      <c r="GB1056" s="656"/>
      <c r="GC1056" s="656"/>
      <c r="GD1056" s="656"/>
      <c r="GE1056" s="656"/>
      <c r="GF1056" s="656"/>
      <c r="GG1056" s="656"/>
      <c r="GH1056" s="656"/>
      <c r="GI1056" s="656"/>
      <c r="GJ1056" s="656"/>
      <c r="GK1056" s="656"/>
      <c r="GL1056" s="656"/>
      <c r="GM1056" s="656"/>
      <c r="GN1056" s="656"/>
      <c r="GO1056" s="656"/>
      <c r="GP1056" s="656"/>
      <c r="GQ1056" s="656"/>
      <c r="GR1056" s="656"/>
      <c r="GS1056" s="656"/>
      <c r="GT1056" s="656"/>
      <c r="GU1056" s="656"/>
      <c r="GV1056" s="656"/>
      <c r="GW1056" s="656"/>
      <c r="GX1056" s="656"/>
      <c r="GY1056" s="656"/>
      <c r="GZ1056" s="656"/>
      <c r="HA1056" s="656"/>
      <c r="HB1056" s="656"/>
      <c r="HC1056" s="656"/>
      <c r="HD1056" s="656"/>
      <c r="HE1056" s="656"/>
      <c r="HF1056" s="656"/>
      <c r="HG1056" s="656"/>
      <c r="HH1056" s="656"/>
      <c r="HI1056" s="656"/>
      <c r="HJ1056" s="656"/>
      <c r="HK1056" s="656"/>
      <c r="HL1056" s="656"/>
      <c r="HM1056" s="656"/>
      <c r="HN1056" s="656"/>
      <c r="HO1056" s="656"/>
      <c r="HP1056" s="656"/>
      <c r="HQ1056" s="656"/>
      <c r="HR1056" s="656"/>
      <c r="HS1056" s="656"/>
      <c r="HT1056" s="656"/>
      <c r="HU1056" s="656"/>
      <c r="HV1056" s="656"/>
      <c r="HW1056" s="656"/>
      <c r="HX1056" s="656"/>
      <c r="HY1056" s="656"/>
      <c r="HZ1056" s="656"/>
      <c r="IA1056" s="656"/>
      <c r="IB1056" s="656"/>
      <c r="IC1056" s="656"/>
      <c r="ID1056" s="656"/>
      <c r="IE1056" s="656"/>
      <c r="IF1056" s="656"/>
      <c r="IG1056" s="656"/>
      <c r="IH1056" s="656"/>
      <c r="II1056" s="656"/>
      <c r="IJ1056" s="656"/>
      <c r="IK1056" s="656"/>
      <c r="IL1056" s="656"/>
      <c r="IM1056" s="656"/>
      <c r="IN1056" s="656"/>
      <c r="IO1056" s="656"/>
      <c r="IP1056" s="656"/>
      <c r="IQ1056" s="656"/>
      <c r="IR1056" s="656"/>
      <c r="IS1056" s="656"/>
      <c r="IT1056" s="656"/>
      <c r="IU1056" s="656"/>
      <c r="IV1056" s="656"/>
    </row>
    <row r="1057" spans="1:256" s="708" customFormat="1" x14ac:dyDescent="0.25">
      <c r="A1057" s="634" t="s">
        <v>277</v>
      </c>
      <c r="B1057" s="634">
        <v>247</v>
      </c>
      <c r="C1057" s="634"/>
      <c r="D1057" s="635" t="s">
        <v>1070</v>
      </c>
      <c r="E1057" s="634" t="s">
        <v>229</v>
      </c>
      <c r="F1057" s="635">
        <v>0.1</v>
      </c>
      <c r="G1057" s="681">
        <v>9.65</v>
      </c>
      <c r="H1057" s="635"/>
      <c r="I1057" s="691"/>
      <c r="J1057" s="691">
        <f>ROUND(F1057*G1057,2)</f>
        <v>0.97</v>
      </c>
      <c r="K1057" s="635"/>
      <c r="L1057" s="635"/>
      <c r="M1057" s="635"/>
      <c r="N1057" s="635"/>
      <c r="O1057" s="635"/>
      <c r="P1057" s="635"/>
      <c r="Q1057" s="609"/>
      <c r="R1057" s="609"/>
      <c r="S1057" s="609"/>
      <c r="T1057" s="609"/>
      <c r="U1057" s="609"/>
      <c r="V1057" s="609"/>
      <c r="W1057" s="609"/>
      <c r="X1057" s="609"/>
      <c r="Y1057" s="609"/>
      <c r="Z1057" s="609"/>
      <c r="AA1057" s="609"/>
      <c r="AB1057" s="609"/>
      <c r="AC1057" s="609"/>
      <c r="AD1057" s="609"/>
      <c r="AE1057" s="609"/>
      <c r="AF1057" s="609"/>
      <c r="AG1057" s="609"/>
      <c r="AH1057" s="609"/>
      <c r="AI1057" s="609"/>
      <c r="AJ1057" s="609"/>
      <c r="AK1057" s="609"/>
      <c r="AL1057" s="609"/>
      <c r="AM1057" s="609"/>
      <c r="AN1057" s="609"/>
      <c r="AO1057" s="609"/>
      <c r="AP1057" s="609"/>
      <c r="AQ1057" s="609"/>
      <c r="AR1057" s="609"/>
      <c r="AS1057" s="609"/>
      <c r="AT1057" s="609"/>
      <c r="AU1057" s="609"/>
      <c r="AV1057" s="609"/>
      <c r="AW1057" s="609"/>
      <c r="AX1057" s="609"/>
      <c r="AY1057" s="609"/>
      <c r="AZ1057" s="609"/>
      <c r="BA1057" s="609"/>
      <c r="BB1057" s="609"/>
      <c r="BC1057" s="609"/>
      <c r="BD1057" s="609"/>
      <c r="BE1057" s="609"/>
      <c r="BF1057" s="609"/>
      <c r="BG1057" s="609"/>
      <c r="BH1057" s="609"/>
      <c r="BI1057" s="609"/>
      <c r="BJ1057" s="609"/>
      <c r="BK1057" s="609"/>
      <c r="BL1057" s="609"/>
      <c r="BM1057" s="609"/>
      <c r="BN1057" s="609"/>
      <c r="BO1057" s="609"/>
      <c r="BP1057" s="609"/>
      <c r="BQ1057" s="609"/>
      <c r="BR1057" s="609"/>
      <c r="BS1057" s="609"/>
      <c r="BT1057" s="609"/>
      <c r="BU1057" s="609"/>
      <c r="BV1057" s="609"/>
      <c r="BW1057" s="609"/>
      <c r="BX1057" s="609"/>
      <c r="BY1057" s="609"/>
      <c r="BZ1057" s="609"/>
      <c r="CA1057" s="609"/>
      <c r="CB1057" s="609"/>
      <c r="CC1057" s="609"/>
      <c r="CD1057" s="609"/>
      <c r="CE1057" s="609"/>
      <c r="CF1057" s="609"/>
      <c r="CG1057" s="609"/>
      <c r="CH1057" s="609"/>
      <c r="CI1057" s="609"/>
      <c r="CJ1057" s="609"/>
      <c r="CK1057" s="609"/>
      <c r="CL1057" s="609"/>
      <c r="CM1057" s="609"/>
      <c r="CN1057" s="609"/>
      <c r="CO1057" s="609"/>
      <c r="CP1057" s="609"/>
      <c r="CQ1057" s="609"/>
      <c r="CR1057" s="609"/>
      <c r="CS1057" s="609"/>
      <c r="CT1057" s="609"/>
      <c r="CU1057" s="609"/>
      <c r="CV1057" s="609"/>
      <c r="CW1057" s="609"/>
      <c r="CX1057" s="609"/>
      <c r="CY1057" s="609"/>
      <c r="CZ1057" s="609"/>
      <c r="DA1057" s="609"/>
      <c r="DB1057" s="609"/>
      <c r="DC1057" s="609"/>
      <c r="DD1057" s="609"/>
      <c r="DE1057" s="609"/>
      <c r="DF1057" s="609"/>
      <c r="DG1057" s="609"/>
      <c r="DH1057" s="609"/>
      <c r="DI1057" s="609"/>
      <c r="DJ1057" s="609"/>
      <c r="DK1057" s="609"/>
      <c r="DL1057" s="609"/>
      <c r="DM1057" s="609"/>
      <c r="DN1057" s="609"/>
      <c r="DO1057" s="609"/>
      <c r="DP1057" s="609"/>
      <c r="DQ1057" s="609"/>
      <c r="DR1057" s="609"/>
      <c r="DS1057" s="609"/>
      <c r="DT1057" s="609"/>
      <c r="DU1057" s="609"/>
      <c r="DV1057" s="609"/>
      <c r="DW1057" s="609"/>
      <c r="DX1057" s="609"/>
      <c r="DY1057" s="609"/>
      <c r="DZ1057" s="609"/>
      <c r="EA1057" s="609"/>
      <c r="EB1057" s="609"/>
      <c r="EC1057" s="609"/>
      <c r="ED1057" s="609"/>
      <c r="EE1057" s="609"/>
      <c r="EF1057" s="609"/>
      <c r="EG1057" s="609"/>
      <c r="EH1057" s="609"/>
      <c r="EI1057" s="609"/>
      <c r="EJ1057" s="609"/>
      <c r="EK1057" s="609"/>
      <c r="EL1057" s="609"/>
      <c r="EM1057" s="609"/>
      <c r="EN1057" s="609"/>
      <c r="EO1057" s="609"/>
      <c r="EP1057" s="609"/>
      <c r="EQ1057" s="609"/>
      <c r="ER1057" s="609"/>
      <c r="ES1057" s="609"/>
      <c r="ET1057" s="609"/>
      <c r="EU1057" s="609"/>
      <c r="EV1057" s="609"/>
      <c r="EW1057" s="609"/>
      <c r="EX1057" s="609"/>
      <c r="EY1057" s="609"/>
      <c r="EZ1057" s="609"/>
      <c r="FA1057" s="609"/>
      <c r="FB1057" s="609"/>
      <c r="FC1057" s="609"/>
      <c r="FD1057" s="609"/>
      <c r="FE1057" s="609"/>
      <c r="FF1057" s="609"/>
      <c r="FG1057" s="609"/>
      <c r="FH1057" s="609"/>
      <c r="FI1057" s="609"/>
      <c r="FJ1057" s="609"/>
      <c r="FK1057" s="609"/>
      <c r="FL1057" s="609"/>
      <c r="FM1057" s="609"/>
      <c r="FN1057" s="609"/>
      <c r="FO1057" s="609"/>
      <c r="FP1057" s="609"/>
      <c r="FQ1057" s="609"/>
      <c r="FR1057" s="609"/>
      <c r="FS1057" s="609"/>
      <c r="FT1057" s="609"/>
      <c r="FU1057" s="609"/>
      <c r="FV1057" s="609"/>
      <c r="FW1057" s="609"/>
      <c r="FX1057" s="609"/>
      <c r="FY1057" s="609"/>
      <c r="FZ1057" s="609"/>
      <c r="GA1057" s="609"/>
      <c r="GB1057" s="609"/>
      <c r="GC1057" s="609"/>
      <c r="GD1057" s="609"/>
      <c r="GE1057" s="609"/>
      <c r="GF1057" s="609"/>
      <c r="GG1057" s="609"/>
      <c r="GH1057" s="609"/>
      <c r="GI1057" s="609"/>
      <c r="GJ1057" s="609"/>
      <c r="GK1057" s="609"/>
      <c r="GL1057" s="609"/>
      <c r="GM1057" s="609"/>
      <c r="GN1057" s="609"/>
      <c r="GO1057" s="609"/>
      <c r="GP1057" s="609"/>
      <c r="GQ1057" s="609"/>
      <c r="GR1057" s="609"/>
      <c r="GS1057" s="609"/>
      <c r="GT1057" s="609"/>
      <c r="GU1057" s="609"/>
      <c r="GV1057" s="609"/>
      <c r="GW1057" s="609"/>
      <c r="GX1057" s="609"/>
      <c r="GY1057" s="609"/>
      <c r="GZ1057" s="609"/>
      <c r="HA1057" s="609"/>
      <c r="HB1057" s="609"/>
      <c r="HC1057" s="609"/>
      <c r="HD1057" s="609"/>
      <c r="HE1057" s="609"/>
      <c r="HF1057" s="609"/>
      <c r="HG1057" s="609"/>
      <c r="HH1057" s="609"/>
      <c r="HI1057" s="609"/>
      <c r="HJ1057" s="609"/>
      <c r="HK1057" s="609"/>
      <c r="HL1057" s="609"/>
      <c r="HM1057" s="609"/>
      <c r="HN1057" s="609"/>
      <c r="HO1057" s="609"/>
      <c r="HP1057" s="609"/>
      <c r="HQ1057" s="609"/>
      <c r="HR1057" s="609"/>
      <c r="HS1057" s="609"/>
      <c r="HT1057" s="609"/>
      <c r="HU1057" s="609"/>
      <c r="HV1057" s="609"/>
      <c r="HW1057" s="609"/>
      <c r="HX1057" s="609"/>
      <c r="HY1057" s="609"/>
      <c r="HZ1057" s="609"/>
      <c r="IA1057" s="609"/>
      <c r="IB1057" s="609"/>
      <c r="IC1057" s="609"/>
      <c r="ID1057" s="609"/>
      <c r="IE1057" s="609"/>
      <c r="IF1057" s="609"/>
      <c r="IG1057" s="609"/>
      <c r="IH1057" s="609"/>
      <c r="II1057" s="609"/>
      <c r="IJ1057" s="609"/>
      <c r="IK1057" s="609"/>
      <c r="IL1057" s="609"/>
      <c r="IM1057" s="609"/>
      <c r="IN1057" s="609"/>
      <c r="IO1057" s="609"/>
      <c r="IP1057" s="609"/>
      <c r="IQ1057" s="609"/>
      <c r="IR1057" s="609"/>
      <c r="IS1057" s="609"/>
      <c r="IT1057" s="609"/>
      <c r="IU1057" s="609"/>
      <c r="IV1057" s="609"/>
    </row>
    <row r="1058" spans="1:256" s="708" customFormat="1" ht="24" x14ac:dyDescent="0.25">
      <c r="A1058" s="662"/>
      <c r="B1058" s="662"/>
      <c r="C1058" s="663" t="s">
        <v>1766</v>
      </c>
      <c r="D1058" s="630" t="s">
        <v>1475</v>
      </c>
      <c r="E1058" s="631" t="s">
        <v>251</v>
      </c>
      <c r="F1058" s="632"/>
      <c r="G1058" s="664"/>
      <c r="H1058" s="632">
        <v>5</v>
      </c>
      <c r="I1058" s="677">
        <f>SUM(I1059:I1060)</f>
        <v>1.18</v>
      </c>
      <c r="J1058" s="677">
        <f>SUM(J1059:J1060)</f>
        <v>0.97</v>
      </c>
      <c r="K1058" s="677">
        <f>I1058+J1058</f>
        <v>2.15</v>
      </c>
      <c r="L1058" s="622">
        <f>H1058*I1058</f>
        <v>5.8999999999999995</v>
      </c>
      <c r="M1058" s="622">
        <f>H1058*J1058</f>
        <v>4.8499999999999996</v>
      </c>
      <c r="N1058" s="622">
        <f>L1058+M1058</f>
        <v>10.75</v>
      </c>
      <c r="O1058" s="622">
        <f>N1058*$P$4</f>
        <v>2.6402000000000001</v>
      </c>
      <c r="P1058" s="622">
        <f>N1058+O1058</f>
        <v>13.3902</v>
      </c>
      <c r="Q1058" s="609"/>
      <c r="R1058" s="609"/>
      <c r="S1058" s="609"/>
      <c r="T1058" s="609"/>
      <c r="U1058" s="609"/>
      <c r="V1058" s="609"/>
      <c r="W1058" s="609"/>
      <c r="X1058" s="609"/>
      <c r="Y1058" s="609"/>
      <c r="Z1058" s="609"/>
      <c r="AA1058" s="609"/>
      <c r="AB1058" s="609"/>
      <c r="AC1058" s="609"/>
      <c r="AD1058" s="609"/>
      <c r="AE1058" s="609"/>
      <c r="AF1058" s="609"/>
      <c r="AG1058" s="609"/>
      <c r="AH1058" s="609"/>
      <c r="AI1058" s="609"/>
      <c r="AJ1058" s="609"/>
      <c r="AK1058" s="609"/>
      <c r="AL1058" s="609"/>
      <c r="AM1058" s="609"/>
      <c r="AN1058" s="609"/>
      <c r="AO1058" s="609"/>
      <c r="AP1058" s="609"/>
      <c r="AQ1058" s="609"/>
      <c r="AR1058" s="609"/>
      <c r="AS1058" s="609"/>
      <c r="AT1058" s="609"/>
      <c r="AU1058" s="609"/>
      <c r="AV1058" s="609"/>
      <c r="AW1058" s="609"/>
      <c r="AX1058" s="609"/>
      <c r="AY1058" s="609"/>
      <c r="AZ1058" s="609"/>
      <c r="BA1058" s="609"/>
      <c r="BB1058" s="609"/>
      <c r="BC1058" s="609"/>
      <c r="BD1058" s="609"/>
      <c r="BE1058" s="609"/>
      <c r="BF1058" s="609"/>
      <c r="BG1058" s="609"/>
      <c r="BH1058" s="609"/>
      <c r="BI1058" s="609"/>
      <c r="BJ1058" s="609"/>
      <c r="BK1058" s="609"/>
      <c r="BL1058" s="609"/>
      <c r="BM1058" s="609"/>
      <c r="BN1058" s="609"/>
      <c r="BO1058" s="609"/>
      <c r="BP1058" s="609"/>
      <c r="BQ1058" s="609"/>
      <c r="BR1058" s="609"/>
      <c r="BS1058" s="609"/>
      <c r="BT1058" s="609"/>
      <c r="BU1058" s="609"/>
      <c r="BV1058" s="609"/>
      <c r="BW1058" s="609"/>
      <c r="BX1058" s="609"/>
      <c r="BY1058" s="609"/>
      <c r="BZ1058" s="609"/>
      <c r="CA1058" s="609"/>
      <c r="CB1058" s="609"/>
      <c r="CC1058" s="609"/>
      <c r="CD1058" s="609"/>
      <c r="CE1058" s="609"/>
      <c r="CF1058" s="609"/>
      <c r="CG1058" s="609"/>
      <c r="CH1058" s="609"/>
      <c r="CI1058" s="609"/>
      <c r="CJ1058" s="609"/>
      <c r="CK1058" s="609"/>
      <c r="CL1058" s="609"/>
      <c r="CM1058" s="609"/>
      <c r="CN1058" s="609"/>
      <c r="CO1058" s="609"/>
      <c r="CP1058" s="609"/>
      <c r="CQ1058" s="609"/>
      <c r="CR1058" s="609"/>
      <c r="CS1058" s="609"/>
      <c r="CT1058" s="609"/>
      <c r="CU1058" s="609"/>
      <c r="CV1058" s="609"/>
      <c r="CW1058" s="609"/>
      <c r="CX1058" s="609"/>
      <c r="CY1058" s="609"/>
      <c r="CZ1058" s="609"/>
      <c r="DA1058" s="609"/>
      <c r="DB1058" s="609"/>
      <c r="DC1058" s="609"/>
      <c r="DD1058" s="609"/>
      <c r="DE1058" s="609"/>
      <c r="DF1058" s="609"/>
      <c r="DG1058" s="609"/>
      <c r="DH1058" s="609"/>
      <c r="DI1058" s="609"/>
      <c r="DJ1058" s="609"/>
      <c r="DK1058" s="609"/>
      <c r="DL1058" s="609"/>
      <c r="DM1058" s="609"/>
      <c r="DN1058" s="609"/>
      <c r="DO1058" s="609"/>
      <c r="DP1058" s="609"/>
      <c r="DQ1058" s="609"/>
      <c r="DR1058" s="609"/>
      <c r="DS1058" s="609"/>
      <c r="DT1058" s="609"/>
      <c r="DU1058" s="609"/>
      <c r="DV1058" s="609"/>
      <c r="DW1058" s="609"/>
      <c r="DX1058" s="609"/>
      <c r="DY1058" s="609"/>
      <c r="DZ1058" s="609"/>
      <c r="EA1058" s="609"/>
      <c r="EB1058" s="609"/>
      <c r="EC1058" s="609"/>
      <c r="ED1058" s="609"/>
      <c r="EE1058" s="609"/>
      <c r="EF1058" s="609"/>
      <c r="EG1058" s="609"/>
      <c r="EH1058" s="609"/>
      <c r="EI1058" s="609"/>
      <c r="EJ1058" s="609"/>
      <c r="EK1058" s="609"/>
      <c r="EL1058" s="609"/>
      <c r="EM1058" s="609"/>
      <c r="EN1058" s="609"/>
      <c r="EO1058" s="609"/>
      <c r="EP1058" s="609"/>
      <c r="EQ1058" s="609"/>
      <c r="ER1058" s="609"/>
      <c r="ES1058" s="609"/>
      <c r="ET1058" s="609"/>
      <c r="EU1058" s="609"/>
      <c r="EV1058" s="609"/>
      <c r="EW1058" s="609"/>
      <c r="EX1058" s="609"/>
      <c r="EY1058" s="609"/>
      <c r="EZ1058" s="609"/>
      <c r="FA1058" s="609"/>
      <c r="FB1058" s="609"/>
      <c r="FC1058" s="609"/>
      <c r="FD1058" s="609"/>
      <c r="FE1058" s="609"/>
      <c r="FF1058" s="609"/>
      <c r="FG1058" s="609"/>
      <c r="FH1058" s="609"/>
      <c r="FI1058" s="609"/>
      <c r="FJ1058" s="609"/>
      <c r="FK1058" s="609"/>
      <c r="FL1058" s="609"/>
      <c r="FM1058" s="609"/>
      <c r="FN1058" s="609"/>
      <c r="FO1058" s="609"/>
      <c r="FP1058" s="609"/>
      <c r="FQ1058" s="609"/>
      <c r="FR1058" s="609"/>
      <c r="FS1058" s="609"/>
      <c r="FT1058" s="609"/>
      <c r="FU1058" s="609"/>
      <c r="FV1058" s="609"/>
      <c r="FW1058" s="609"/>
      <c r="FX1058" s="609"/>
      <c r="FY1058" s="609"/>
      <c r="FZ1058" s="609"/>
      <c r="GA1058" s="609"/>
      <c r="GB1058" s="609"/>
      <c r="GC1058" s="609"/>
      <c r="GD1058" s="609"/>
      <c r="GE1058" s="609"/>
      <c r="GF1058" s="609"/>
      <c r="GG1058" s="609"/>
      <c r="GH1058" s="609"/>
      <c r="GI1058" s="609"/>
      <c r="GJ1058" s="609"/>
      <c r="GK1058" s="609"/>
      <c r="GL1058" s="609"/>
      <c r="GM1058" s="609"/>
      <c r="GN1058" s="609"/>
      <c r="GO1058" s="609"/>
      <c r="GP1058" s="609"/>
      <c r="GQ1058" s="609"/>
      <c r="GR1058" s="609"/>
      <c r="GS1058" s="609"/>
      <c r="GT1058" s="609"/>
      <c r="GU1058" s="609"/>
      <c r="GV1058" s="609"/>
      <c r="GW1058" s="609"/>
      <c r="GX1058" s="609"/>
      <c r="GY1058" s="609"/>
      <c r="GZ1058" s="609"/>
      <c r="HA1058" s="609"/>
      <c r="HB1058" s="609"/>
      <c r="HC1058" s="609"/>
      <c r="HD1058" s="609"/>
      <c r="HE1058" s="609"/>
      <c r="HF1058" s="609"/>
      <c r="HG1058" s="609"/>
      <c r="HH1058" s="609"/>
      <c r="HI1058" s="609"/>
      <c r="HJ1058" s="609"/>
      <c r="HK1058" s="609"/>
      <c r="HL1058" s="609"/>
      <c r="HM1058" s="609"/>
      <c r="HN1058" s="609"/>
      <c r="HO1058" s="609"/>
      <c r="HP1058" s="609"/>
      <c r="HQ1058" s="609"/>
      <c r="HR1058" s="609"/>
      <c r="HS1058" s="609"/>
      <c r="HT1058" s="609"/>
      <c r="HU1058" s="609"/>
      <c r="HV1058" s="609"/>
      <c r="HW1058" s="609"/>
      <c r="HX1058" s="609"/>
      <c r="HY1058" s="609"/>
      <c r="HZ1058" s="609"/>
      <c r="IA1058" s="609"/>
      <c r="IB1058" s="609"/>
      <c r="IC1058" s="609"/>
      <c r="ID1058" s="609"/>
      <c r="IE1058" s="609"/>
      <c r="IF1058" s="609"/>
      <c r="IG1058" s="609"/>
      <c r="IH1058" s="609"/>
      <c r="II1058" s="609"/>
      <c r="IJ1058" s="609"/>
      <c r="IK1058" s="609"/>
      <c r="IL1058" s="609"/>
      <c r="IM1058" s="609"/>
      <c r="IN1058" s="609"/>
      <c r="IO1058" s="609"/>
      <c r="IP1058" s="609"/>
      <c r="IQ1058" s="609"/>
      <c r="IR1058" s="609"/>
      <c r="IS1058" s="609"/>
      <c r="IT1058" s="609"/>
      <c r="IU1058" s="609"/>
      <c r="IV1058" s="609"/>
    </row>
    <row r="1059" spans="1:256" s="708" customFormat="1" ht="24" x14ac:dyDescent="0.25">
      <c r="A1059" s="634" t="s">
        <v>1705</v>
      </c>
      <c r="B1059" s="679"/>
      <c r="C1059" s="634"/>
      <c r="D1059" s="693" t="s">
        <v>1476</v>
      </c>
      <c r="E1059" s="634" t="s">
        <v>251</v>
      </c>
      <c r="F1059" s="635">
        <v>1</v>
      </c>
      <c r="G1059" s="681">
        <v>1.18</v>
      </c>
      <c r="H1059" s="635"/>
      <c r="I1059" s="691">
        <f>ROUND(F1059*G1059,2)</f>
        <v>1.18</v>
      </c>
      <c r="J1059" s="635"/>
      <c r="K1059" s="635"/>
      <c r="L1059" s="635"/>
      <c r="M1059" s="635"/>
      <c r="N1059" s="635"/>
      <c r="O1059" s="635"/>
      <c r="P1059" s="635"/>
      <c r="Q1059" s="609"/>
      <c r="R1059" s="609"/>
      <c r="S1059" s="609"/>
      <c r="T1059" s="609"/>
      <c r="U1059" s="609"/>
      <c r="V1059" s="609"/>
      <c r="W1059" s="609"/>
      <c r="X1059" s="609"/>
      <c r="Y1059" s="609"/>
      <c r="Z1059" s="609"/>
      <c r="AA1059" s="609"/>
      <c r="AB1059" s="609"/>
      <c r="AC1059" s="609"/>
      <c r="AD1059" s="609"/>
      <c r="AE1059" s="609"/>
      <c r="AF1059" s="609"/>
      <c r="AG1059" s="609"/>
      <c r="AH1059" s="609"/>
      <c r="AI1059" s="609"/>
      <c r="AJ1059" s="609"/>
      <c r="AK1059" s="609"/>
      <c r="AL1059" s="609"/>
      <c r="AM1059" s="609"/>
      <c r="AN1059" s="609"/>
      <c r="AO1059" s="609"/>
      <c r="AP1059" s="609"/>
      <c r="AQ1059" s="609"/>
      <c r="AR1059" s="609"/>
      <c r="AS1059" s="609"/>
      <c r="AT1059" s="609"/>
      <c r="AU1059" s="609"/>
      <c r="AV1059" s="609"/>
      <c r="AW1059" s="609"/>
      <c r="AX1059" s="609"/>
      <c r="AY1059" s="609"/>
      <c r="AZ1059" s="609"/>
      <c r="BA1059" s="609"/>
      <c r="BB1059" s="609"/>
      <c r="BC1059" s="609"/>
      <c r="BD1059" s="609"/>
      <c r="BE1059" s="609"/>
      <c r="BF1059" s="609"/>
      <c r="BG1059" s="609"/>
      <c r="BH1059" s="609"/>
      <c r="BI1059" s="609"/>
      <c r="BJ1059" s="609"/>
      <c r="BK1059" s="609"/>
      <c r="BL1059" s="609"/>
      <c r="BM1059" s="609"/>
      <c r="BN1059" s="609"/>
      <c r="BO1059" s="609"/>
      <c r="BP1059" s="609"/>
      <c r="BQ1059" s="609"/>
      <c r="BR1059" s="609"/>
      <c r="BS1059" s="609"/>
      <c r="BT1059" s="609"/>
      <c r="BU1059" s="609"/>
      <c r="BV1059" s="609"/>
      <c r="BW1059" s="609"/>
      <c r="BX1059" s="609"/>
      <c r="BY1059" s="609"/>
      <c r="BZ1059" s="609"/>
      <c r="CA1059" s="609"/>
      <c r="CB1059" s="609"/>
      <c r="CC1059" s="609"/>
      <c r="CD1059" s="609"/>
      <c r="CE1059" s="609"/>
      <c r="CF1059" s="609"/>
      <c r="CG1059" s="609"/>
      <c r="CH1059" s="609"/>
      <c r="CI1059" s="609"/>
      <c r="CJ1059" s="609"/>
      <c r="CK1059" s="609"/>
      <c r="CL1059" s="609"/>
      <c r="CM1059" s="609"/>
      <c r="CN1059" s="609"/>
      <c r="CO1059" s="609"/>
      <c r="CP1059" s="609"/>
      <c r="CQ1059" s="609"/>
      <c r="CR1059" s="609"/>
      <c r="CS1059" s="609"/>
      <c r="CT1059" s="609"/>
      <c r="CU1059" s="609"/>
      <c r="CV1059" s="609"/>
      <c r="CW1059" s="609"/>
      <c r="CX1059" s="609"/>
      <c r="CY1059" s="609"/>
      <c r="CZ1059" s="609"/>
      <c r="DA1059" s="609"/>
      <c r="DB1059" s="609"/>
      <c r="DC1059" s="609"/>
      <c r="DD1059" s="609"/>
      <c r="DE1059" s="609"/>
      <c r="DF1059" s="609"/>
      <c r="DG1059" s="609"/>
      <c r="DH1059" s="609"/>
      <c r="DI1059" s="609"/>
      <c r="DJ1059" s="609"/>
      <c r="DK1059" s="609"/>
      <c r="DL1059" s="609"/>
      <c r="DM1059" s="609"/>
      <c r="DN1059" s="609"/>
      <c r="DO1059" s="609"/>
      <c r="DP1059" s="609"/>
      <c r="DQ1059" s="609"/>
      <c r="DR1059" s="609"/>
      <c r="DS1059" s="609"/>
      <c r="DT1059" s="609"/>
      <c r="DU1059" s="609"/>
      <c r="DV1059" s="609"/>
      <c r="DW1059" s="609"/>
      <c r="DX1059" s="609"/>
      <c r="DY1059" s="609"/>
      <c r="DZ1059" s="609"/>
      <c r="EA1059" s="609"/>
      <c r="EB1059" s="609"/>
      <c r="EC1059" s="609"/>
      <c r="ED1059" s="609"/>
      <c r="EE1059" s="609"/>
      <c r="EF1059" s="609"/>
      <c r="EG1059" s="609"/>
      <c r="EH1059" s="609"/>
      <c r="EI1059" s="609"/>
      <c r="EJ1059" s="609"/>
      <c r="EK1059" s="609"/>
      <c r="EL1059" s="609"/>
      <c r="EM1059" s="609"/>
      <c r="EN1059" s="609"/>
      <c r="EO1059" s="609"/>
      <c r="EP1059" s="609"/>
      <c r="EQ1059" s="609"/>
      <c r="ER1059" s="609"/>
      <c r="ES1059" s="609"/>
      <c r="ET1059" s="609"/>
      <c r="EU1059" s="609"/>
      <c r="EV1059" s="609"/>
      <c r="EW1059" s="609"/>
      <c r="EX1059" s="609"/>
      <c r="EY1059" s="609"/>
      <c r="EZ1059" s="609"/>
      <c r="FA1059" s="609"/>
      <c r="FB1059" s="609"/>
      <c r="FC1059" s="609"/>
      <c r="FD1059" s="609"/>
      <c r="FE1059" s="609"/>
      <c r="FF1059" s="609"/>
      <c r="FG1059" s="609"/>
      <c r="FH1059" s="609"/>
      <c r="FI1059" s="609"/>
      <c r="FJ1059" s="609"/>
      <c r="FK1059" s="609"/>
      <c r="FL1059" s="609"/>
      <c r="FM1059" s="609"/>
      <c r="FN1059" s="609"/>
      <c r="FO1059" s="609"/>
      <c r="FP1059" s="609"/>
      <c r="FQ1059" s="609"/>
      <c r="FR1059" s="609"/>
      <c r="FS1059" s="609"/>
      <c r="FT1059" s="609"/>
      <c r="FU1059" s="609"/>
      <c r="FV1059" s="609"/>
      <c r="FW1059" s="609"/>
      <c r="FX1059" s="609"/>
      <c r="FY1059" s="609"/>
      <c r="FZ1059" s="609"/>
      <c r="GA1059" s="609"/>
      <c r="GB1059" s="609"/>
      <c r="GC1059" s="609"/>
      <c r="GD1059" s="609"/>
      <c r="GE1059" s="609"/>
      <c r="GF1059" s="609"/>
      <c r="GG1059" s="609"/>
      <c r="GH1059" s="609"/>
      <c r="GI1059" s="609"/>
      <c r="GJ1059" s="609"/>
      <c r="GK1059" s="609"/>
      <c r="GL1059" s="609"/>
      <c r="GM1059" s="609"/>
      <c r="GN1059" s="609"/>
      <c r="GO1059" s="609"/>
      <c r="GP1059" s="609"/>
      <c r="GQ1059" s="609"/>
      <c r="GR1059" s="609"/>
      <c r="GS1059" s="609"/>
      <c r="GT1059" s="609"/>
      <c r="GU1059" s="609"/>
      <c r="GV1059" s="609"/>
      <c r="GW1059" s="609"/>
      <c r="GX1059" s="609"/>
      <c r="GY1059" s="609"/>
      <c r="GZ1059" s="609"/>
      <c r="HA1059" s="609"/>
      <c r="HB1059" s="609"/>
      <c r="HC1059" s="609"/>
      <c r="HD1059" s="609"/>
      <c r="HE1059" s="609"/>
      <c r="HF1059" s="609"/>
      <c r="HG1059" s="609"/>
      <c r="HH1059" s="609"/>
      <c r="HI1059" s="609"/>
      <c r="HJ1059" s="609"/>
      <c r="HK1059" s="609"/>
      <c r="HL1059" s="609"/>
      <c r="HM1059" s="609"/>
      <c r="HN1059" s="609"/>
      <c r="HO1059" s="609"/>
      <c r="HP1059" s="609"/>
      <c r="HQ1059" s="609"/>
      <c r="HR1059" s="609"/>
      <c r="HS1059" s="609"/>
      <c r="HT1059" s="609"/>
      <c r="HU1059" s="609"/>
      <c r="HV1059" s="609"/>
      <c r="HW1059" s="609"/>
      <c r="HX1059" s="609"/>
      <c r="HY1059" s="609"/>
      <c r="HZ1059" s="609"/>
      <c r="IA1059" s="609"/>
      <c r="IB1059" s="609"/>
      <c r="IC1059" s="609"/>
      <c r="ID1059" s="609"/>
      <c r="IE1059" s="609"/>
      <c r="IF1059" s="609"/>
      <c r="IG1059" s="609"/>
      <c r="IH1059" s="609"/>
      <c r="II1059" s="609"/>
      <c r="IJ1059" s="609"/>
      <c r="IK1059" s="609"/>
      <c r="IL1059" s="609"/>
      <c r="IM1059" s="609"/>
      <c r="IN1059" s="609"/>
      <c r="IO1059" s="609"/>
      <c r="IP1059" s="609"/>
      <c r="IQ1059" s="609"/>
      <c r="IR1059" s="609"/>
      <c r="IS1059" s="609"/>
      <c r="IT1059" s="609"/>
      <c r="IU1059" s="609"/>
      <c r="IV1059" s="609"/>
    </row>
    <row r="1060" spans="1:256" s="708" customFormat="1" x14ac:dyDescent="0.25">
      <c r="A1060" s="634" t="s">
        <v>277</v>
      </c>
      <c r="B1060" s="634">
        <v>247</v>
      </c>
      <c r="C1060" s="634"/>
      <c r="D1060" s="635" t="s">
        <v>1070</v>
      </c>
      <c r="E1060" s="634" t="s">
        <v>229</v>
      </c>
      <c r="F1060" s="635">
        <v>0.1</v>
      </c>
      <c r="G1060" s="681">
        <v>9.65</v>
      </c>
      <c r="H1060" s="635"/>
      <c r="I1060" s="635"/>
      <c r="J1060" s="691">
        <f>ROUND(F1060*G1060,2)</f>
        <v>0.97</v>
      </c>
      <c r="K1060" s="635"/>
      <c r="L1060" s="635"/>
      <c r="M1060" s="635"/>
      <c r="N1060" s="635"/>
      <c r="O1060" s="635"/>
      <c r="P1060" s="635"/>
      <c r="Q1060" s="609"/>
      <c r="R1060" s="609"/>
      <c r="S1060" s="609"/>
      <c r="T1060" s="609"/>
      <c r="U1060" s="609"/>
      <c r="V1060" s="609"/>
      <c r="W1060" s="609"/>
      <c r="X1060" s="609"/>
      <c r="Y1060" s="609"/>
      <c r="Z1060" s="609"/>
      <c r="AA1060" s="609"/>
      <c r="AB1060" s="609"/>
      <c r="AC1060" s="609"/>
      <c r="AD1060" s="609"/>
      <c r="AE1060" s="609"/>
      <c r="AF1060" s="609"/>
      <c r="AG1060" s="609"/>
      <c r="AH1060" s="609"/>
      <c r="AI1060" s="609"/>
      <c r="AJ1060" s="609"/>
      <c r="AK1060" s="609"/>
      <c r="AL1060" s="609"/>
      <c r="AM1060" s="609"/>
      <c r="AN1060" s="609"/>
      <c r="AO1060" s="609"/>
      <c r="AP1060" s="609"/>
      <c r="AQ1060" s="609"/>
      <c r="AR1060" s="609"/>
      <c r="AS1060" s="609"/>
      <c r="AT1060" s="609"/>
      <c r="AU1060" s="609"/>
      <c r="AV1060" s="609"/>
      <c r="AW1060" s="609"/>
      <c r="AX1060" s="609"/>
      <c r="AY1060" s="609"/>
      <c r="AZ1060" s="609"/>
      <c r="BA1060" s="609"/>
      <c r="BB1060" s="609"/>
      <c r="BC1060" s="609"/>
      <c r="BD1060" s="609"/>
      <c r="BE1060" s="609"/>
      <c r="BF1060" s="609"/>
      <c r="BG1060" s="609"/>
      <c r="BH1060" s="609"/>
      <c r="BI1060" s="609"/>
      <c r="BJ1060" s="609"/>
      <c r="BK1060" s="609"/>
      <c r="BL1060" s="609"/>
      <c r="BM1060" s="609"/>
      <c r="BN1060" s="609"/>
      <c r="BO1060" s="609"/>
      <c r="BP1060" s="609"/>
      <c r="BQ1060" s="609"/>
      <c r="BR1060" s="609"/>
      <c r="BS1060" s="609"/>
      <c r="BT1060" s="609"/>
      <c r="BU1060" s="609"/>
      <c r="BV1060" s="609"/>
      <c r="BW1060" s="609"/>
      <c r="BX1060" s="609"/>
      <c r="BY1060" s="609"/>
      <c r="BZ1060" s="609"/>
      <c r="CA1060" s="609"/>
      <c r="CB1060" s="609"/>
      <c r="CC1060" s="609"/>
      <c r="CD1060" s="609"/>
      <c r="CE1060" s="609"/>
      <c r="CF1060" s="609"/>
      <c r="CG1060" s="609"/>
      <c r="CH1060" s="609"/>
      <c r="CI1060" s="609"/>
      <c r="CJ1060" s="609"/>
      <c r="CK1060" s="609"/>
      <c r="CL1060" s="609"/>
      <c r="CM1060" s="609"/>
      <c r="CN1060" s="609"/>
      <c r="CO1060" s="609"/>
      <c r="CP1060" s="609"/>
      <c r="CQ1060" s="609"/>
      <c r="CR1060" s="609"/>
      <c r="CS1060" s="609"/>
      <c r="CT1060" s="609"/>
      <c r="CU1060" s="609"/>
      <c r="CV1060" s="609"/>
      <c r="CW1060" s="609"/>
      <c r="CX1060" s="609"/>
      <c r="CY1060" s="609"/>
      <c r="CZ1060" s="609"/>
      <c r="DA1060" s="609"/>
      <c r="DB1060" s="609"/>
      <c r="DC1060" s="609"/>
      <c r="DD1060" s="609"/>
      <c r="DE1060" s="609"/>
      <c r="DF1060" s="609"/>
      <c r="DG1060" s="609"/>
      <c r="DH1060" s="609"/>
      <c r="DI1060" s="609"/>
      <c r="DJ1060" s="609"/>
      <c r="DK1060" s="609"/>
      <c r="DL1060" s="609"/>
      <c r="DM1060" s="609"/>
      <c r="DN1060" s="609"/>
      <c r="DO1060" s="609"/>
      <c r="DP1060" s="609"/>
      <c r="DQ1060" s="609"/>
      <c r="DR1060" s="609"/>
      <c r="DS1060" s="609"/>
      <c r="DT1060" s="609"/>
      <c r="DU1060" s="609"/>
      <c r="DV1060" s="609"/>
      <c r="DW1060" s="609"/>
      <c r="DX1060" s="609"/>
      <c r="DY1060" s="609"/>
      <c r="DZ1060" s="609"/>
      <c r="EA1060" s="609"/>
      <c r="EB1060" s="609"/>
      <c r="EC1060" s="609"/>
      <c r="ED1060" s="609"/>
      <c r="EE1060" s="609"/>
      <c r="EF1060" s="609"/>
      <c r="EG1060" s="609"/>
      <c r="EH1060" s="609"/>
      <c r="EI1060" s="609"/>
      <c r="EJ1060" s="609"/>
      <c r="EK1060" s="609"/>
      <c r="EL1060" s="609"/>
      <c r="EM1060" s="609"/>
      <c r="EN1060" s="609"/>
      <c r="EO1060" s="609"/>
      <c r="EP1060" s="609"/>
      <c r="EQ1060" s="609"/>
      <c r="ER1060" s="609"/>
      <c r="ES1060" s="609"/>
      <c r="ET1060" s="609"/>
      <c r="EU1060" s="609"/>
      <c r="EV1060" s="609"/>
      <c r="EW1060" s="609"/>
      <c r="EX1060" s="609"/>
      <c r="EY1060" s="609"/>
      <c r="EZ1060" s="609"/>
      <c r="FA1060" s="609"/>
      <c r="FB1060" s="609"/>
      <c r="FC1060" s="609"/>
      <c r="FD1060" s="609"/>
      <c r="FE1060" s="609"/>
      <c r="FF1060" s="609"/>
      <c r="FG1060" s="609"/>
      <c r="FH1060" s="609"/>
      <c r="FI1060" s="609"/>
      <c r="FJ1060" s="609"/>
      <c r="FK1060" s="609"/>
      <c r="FL1060" s="609"/>
      <c r="FM1060" s="609"/>
      <c r="FN1060" s="609"/>
      <c r="FO1060" s="609"/>
      <c r="FP1060" s="609"/>
      <c r="FQ1060" s="609"/>
      <c r="FR1060" s="609"/>
      <c r="FS1060" s="609"/>
      <c r="FT1060" s="609"/>
      <c r="FU1060" s="609"/>
      <c r="FV1060" s="609"/>
      <c r="FW1060" s="609"/>
      <c r="FX1060" s="609"/>
      <c r="FY1060" s="609"/>
      <c r="FZ1060" s="609"/>
      <c r="GA1060" s="609"/>
      <c r="GB1060" s="609"/>
      <c r="GC1060" s="609"/>
      <c r="GD1060" s="609"/>
      <c r="GE1060" s="609"/>
      <c r="GF1060" s="609"/>
      <c r="GG1060" s="609"/>
      <c r="GH1060" s="609"/>
      <c r="GI1060" s="609"/>
      <c r="GJ1060" s="609"/>
      <c r="GK1060" s="609"/>
      <c r="GL1060" s="609"/>
      <c r="GM1060" s="609"/>
      <c r="GN1060" s="609"/>
      <c r="GO1060" s="609"/>
      <c r="GP1060" s="609"/>
      <c r="GQ1060" s="609"/>
      <c r="GR1060" s="609"/>
      <c r="GS1060" s="609"/>
      <c r="GT1060" s="609"/>
      <c r="GU1060" s="609"/>
      <c r="GV1060" s="609"/>
      <c r="GW1060" s="609"/>
      <c r="GX1060" s="609"/>
      <c r="GY1060" s="609"/>
      <c r="GZ1060" s="609"/>
      <c r="HA1060" s="609"/>
      <c r="HB1060" s="609"/>
      <c r="HC1060" s="609"/>
      <c r="HD1060" s="609"/>
      <c r="HE1060" s="609"/>
      <c r="HF1060" s="609"/>
      <c r="HG1060" s="609"/>
      <c r="HH1060" s="609"/>
      <c r="HI1060" s="609"/>
      <c r="HJ1060" s="609"/>
      <c r="HK1060" s="609"/>
      <c r="HL1060" s="609"/>
      <c r="HM1060" s="609"/>
      <c r="HN1060" s="609"/>
      <c r="HO1060" s="609"/>
      <c r="HP1060" s="609"/>
      <c r="HQ1060" s="609"/>
      <c r="HR1060" s="609"/>
      <c r="HS1060" s="609"/>
      <c r="HT1060" s="609"/>
      <c r="HU1060" s="609"/>
      <c r="HV1060" s="609"/>
      <c r="HW1060" s="609"/>
      <c r="HX1060" s="609"/>
      <c r="HY1060" s="609"/>
      <c r="HZ1060" s="609"/>
      <c r="IA1060" s="609"/>
      <c r="IB1060" s="609"/>
      <c r="IC1060" s="609"/>
      <c r="ID1060" s="609"/>
      <c r="IE1060" s="609"/>
      <c r="IF1060" s="609"/>
      <c r="IG1060" s="609"/>
      <c r="IH1060" s="609"/>
      <c r="II1060" s="609"/>
      <c r="IJ1060" s="609"/>
      <c r="IK1060" s="609"/>
      <c r="IL1060" s="609"/>
      <c r="IM1060" s="609"/>
      <c r="IN1060" s="609"/>
      <c r="IO1060" s="609"/>
      <c r="IP1060" s="609"/>
      <c r="IQ1060" s="609"/>
      <c r="IR1060" s="609"/>
      <c r="IS1060" s="609"/>
      <c r="IT1060" s="609"/>
      <c r="IU1060" s="609"/>
      <c r="IV1060" s="609"/>
    </row>
    <row r="1061" spans="1:256" s="708" customFormat="1" ht="24" x14ac:dyDescent="0.25">
      <c r="A1061" s="662"/>
      <c r="B1061" s="662"/>
      <c r="C1061" s="663" t="s">
        <v>1767</v>
      </c>
      <c r="D1061" s="630" t="s">
        <v>1768</v>
      </c>
      <c r="E1061" s="631" t="s">
        <v>251</v>
      </c>
      <c r="F1061" s="632"/>
      <c r="G1061" s="664"/>
      <c r="H1061" s="632">
        <v>40</v>
      </c>
      <c r="I1061" s="677">
        <f>SUM(I1062:I1063)</f>
        <v>1.1000000000000001</v>
      </c>
      <c r="J1061" s="677">
        <f>SUM(J1062:J1063)</f>
        <v>0.48</v>
      </c>
      <c r="K1061" s="677">
        <f>I1061+J1061</f>
        <v>1.58</v>
      </c>
      <c r="L1061" s="622">
        <f>H1061*I1061</f>
        <v>44</v>
      </c>
      <c r="M1061" s="622">
        <f>H1061*J1061</f>
        <v>19.2</v>
      </c>
      <c r="N1061" s="622">
        <f>L1061+M1061</f>
        <v>63.2</v>
      </c>
      <c r="O1061" s="622">
        <f>N1061*$P$4</f>
        <v>15.521920000000001</v>
      </c>
      <c r="P1061" s="622">
        <f>N1061+O1061</f>
        <v>78.721920000000011</v>
      </c>
      <c r="Q1061" s="609"/>
      <c r="R1061" s="609"/>
      <c r="S1061" s="609"/>
      <c r="T1061" s="609"/>
      <c r="U1061" s="609"/>
      <c r="V1061" s="609"/>
      <c r="W1061" s="609"/>
      <c r="X1061" s="609"/>
      <c r="Y1061" s="609"/>
      <c r="Z1061" s="609"/>
      <c r="AA1061" s="609"/>
      <c r="AB1061" s="609"/>
      <c r="AC1061" s="609"/>
      <c r="AD1061" s="609"/>
      <c r="AE1061" s="609"/>
      <c r="AF1061" s="609"/>
      <c r="AG1061" s="609"/>
      <c r="AH1061" s="609"/>
      <c r="AI1061" s="609"/>
      <c r="AJ1061" s="609"/>
      <c r="AK1061" s="609"/>
      <c r="AL1061" s="609"/>
      <c r="AM1061" s="609"/>
      <c r="AN1061" s="609"/>
      <c r="AO1061" s="609"/>
      <c r="AP1061" s="609"/>
      <c r="AQ1061" s="609"/>
      <c r="AR1061" s="609"/>
      <c r="AS1061" s="609"/>
      <c r="AT1061" s="609"/>
      <c r="AU1061" s="609"/>
      <c r="AV1061" s="609"/>
      <c r="AW1061" s="609"/>
      <c r="AX1061" s="609"/>
      <c r="AY1061" s="609"/>
      <c r="AZ1061" s="609"/>
      <c r="BA1061" s="609"/>
      <c r="BB1061" s="609"/>
      <c r="BC1061" s="609"/>
      <c r="BD1061" s="609"/>
      <c r="BE1061" s="609"/>
      <c r="BF1061" s="609"/>
      <c r="BG1061" s="609"/>
      <c r="BH1061" s="609"/>
      <c r="BI1061" s="609"/>
      <c r="BJ1061" s="609"/>
      <c r="BK1061" s="609"/>
      <c r="BL1061" s="609"/>
      <c r="BM1061" s="609"/>
      <c r="BN1061" s="609"/>
      <c r="BO1061" s="609"/>
      <c r="BP1061" s="609"/>
      <c r="BQ1061" s="609"/>
      <c r="BR1061" s="609"/>
      <c r="BS1061" s="609"/>
      <c r="BT1061" s="609"/>
      <c r="BU1061" s="609"/>
      <c r="BV1061" s="609"/>
      <c r="BW1061" s="609"/>
      <c r="BX1061" s="609"/>
      <c r="BY1061" s="609"/>
      <c r="BZ1061" s="609"/>
      <c r="CA1061" s="609"/>
      <c r="CB1061" s="609"/>
      <c r="CC1061" s="609"/>
      <c r="CD1061" s="609"/>
      <c r="CE1061" s="609"/>
      <c r="CF1061" s="609"/>
      <c r="CG1061" s="609"/>
      <c r="CH1061" s="609"/>
      <c r="CI1061" s="609"/>
      <c r="CJ1061" s="609"/>
      <c r="CK1061" s="609"/>
      <c r="CL1061" s="609"/>
      <c r="CM1061" s="609"/>
      <c r="CN1061" s="609"/>
      <c r="CO1061" s="609"/>
      <c r="CP1061" s="609"/>
      <c r="CQ1061" s="609"/>
      <c r="CR1061" s="609"/>
      <c r="CS1061" s="609"/>
      <c r="CT1061" s="609"/>
      <c r="CU1061" s="609"/>
      <c r="CV1061" s="609"/>
      <c r="CW1061" s="609"/>
      <c r="CX1061" s="609"/>
      <c r="CY1061" s="609"/>
      <c r="CZ1061" s="609"/>
      <c r="DA1061" s="609"/>
      <c r="DB1061" s="609"/>
      <c r="DC1061" s="609"/>
      <c r="DD1061" s="609"/>
      <c r="DE1061" s="609"/>
      <c r="DF1061" s="609"/>
      <c r="DG1061" s="609"/>
      <c r="DH1061" s="609"/>
      <c r="DI1061" s="609"/>
      <c r="DJ1061" s="609"/>
      <c r="DK1061" s="609"/>
      <c r="DL1061" s="609"/>
      <c r="DM1061" s="609"/>
      <c r="DN1061" s="609"/>
      <c r="DO1061" s="609"/>
      <c r="DP1061" s="609"/>
      <c r="DQ1061" s="609"/>
      <c r="DR1061" s="609"/>
      <c r="DS1061" s="609"/>
      <c r="DT1061" s="609"/>
      <c r="DU1061" s="609"/>
      <c r="DV1061" s="609"/>
      <c r="DW1061" s="609"/>
      <c r="DX1061" s="609"/>
      <c r="DY1061" s="609"/>
      <c r="DZ1061" s="609"/>
      <c r="EA1061" s="609"/>
      <c r="EB1061" s="609"/>
      <c r="EC1061" s="609"/>
      <c r="ED1061" s="609"/>
      <c r="EE1061" s="609"/>
      <c r="EF1061" s="609"/>
      <c r="EG1061" s="609"/>
      <c r="EH1061" s="609"/>
      <c r="EI1061" s="609"/>
      <c r="EJ1061" s="609"/>
      <c r="EK1061" s="609"/>
      <c r="EL1061" s="609"/>
      <c r="EM1061" s="609"/>
      <c r="EN1061" s="609"/>
      <c r="EO1061" s="609"/>
      <c r="EP1061" s="609"/>
      <c r="EQ1061" s="609"/>
      <c r="ER1061" s="609"/>
      <c r="ES1061" s="609"/>
      <c r="ET1061" s="609"/>
      <c r="EU1061" s="609"/>
      <c r="EV1061" s="609"/>
      <c r="EW1061" s="609"/>
      <c r="EX1061" s="609"/>
      <c r="EY1061" s="609"/>
      <c r="EZ1061" s="609"/>
      <c r="FA1061" s="609"/>
      <c r="FB1061" s="609"/>
      <c r="FC1061" s="609"/>
      <c r="FD1061" s="609"/>
      <c r="FE1061" s="609"/>
      <c r="FF1061" s="609"/>
      <c r="FG1061" s="609"/>
      <c r="FH1061" s="609"/>
      <c r="FI1061" s="609"/>
      <c r="FJ1061" s="609"/>
      <c r="FK1061" s="609"/>
      <c r="FL1061" s="609"/>
      <c r="FM1061" s="609"/>
      <c r="FN1061" s="609"/>
      <c r="FO1061" s="609"/>
      <c r="FP1061" s="609"/>
      <c r="FQ1061" s="609"/>
      <c r="FR1061" s="609"/>
      <c r="FS1061" s="609"/>
      <c r="FT1061" s="609"/>
      <c r="FU1061" s="609"/>
      <c r="FV1061" s="609"/>
      <c r="FW1061" s="609"/>
      <c r="FX1061" s="609"/>
      <c r="FY1061" s="609"/>
      <c r="FZ1061" s="609"/>
      <c r="GA1061" s="609"/>
      <c r="GB1061" s="609"/>
      <c r="GC1061" s="609"/>
      <c r="GD1061" s="609"/>
      <c r="GE1061" s="609"/>
      <c r="GF1061" s="609"/>
      <c r="GG1061" s="609"/>
      <c r="GH1061" s="609"/>
      <c r="GI1061" s="609"/>
      <c r="GJ1061" s="609"/>
      <c r="GK1061" s="609"/>
      <c r="GL1061" s="609"/>
      <c r="GM1061" s="609"/>
      <c r="GN1061" s="609"/>
      <c r="GO1061" s="609"/>
      <c r="GP1061" s="609"/>
      <c r="GQ1061" s="609"/>
      <c r="GR1061" s="609"/>
      <c r="GS1061" s="609"/>
      <c r="GT1061" s="609"/>
      <c r="GU1061" s="609"/>
      <c r="GV1061" s="609"/>
      <c r="GW1061" s="609"/>
      <c r="GX1061" s="609"/>
      <c r="GY1061" s="609"/>
      <c r="GZ1061" s="609"/>
      <c r="HA1061" s="609"/>
      <c r="HB1061" s="609"/>
      <c r="HC1061" s="609"/>
      <c r="HD1061" s="609"/>
      <c r="HE1061" s="609"/>
      <c r="HF1061" s="609"/>
      <c r="HG1061" s="609"/>
      <c r="HH1061" s="609"/>
      <c r="HI1061" s="609"/>
      <c r="HJ1061" s="609"/>
      <c r="HK1061" s="609"/>
      <c r="HL1061" s="609"/>
      <c r="HM1061" s="609"/>
      <c r="HN1061" s="609"/>
      <c r="HO1061" s="609"/>
      <c r="HP1061" s="609"/>
      <c r="HQ1061" s="609"/>
      <c r="HR1061" s="609"/>
      <c r="HS1061" s="609"/>
      <c r="HT1061" s="609"/>
      <c r="HU1061" s="609"/>
      <c r="HV1061" s="609"/>
      <c r="HW1061" s="609"/>
      <c r="HX1061" s="609"/>
      <c r="HY1061" s="609"/>
      <c r="HZ1061" s="609"/>
      <c r="IA1061" s="609"/>
      <c r="IB1061" s="609"/>
      <c r="IC1061" s="609"/>
      <c r="ID1061" s="609"/>
      <c r="IE1061" s="609"/>
      <c r="IF1061" s="609"/>
      <c r="IG1061" s="609"/>
      <c r="IH1061" s="609"/>
      <c r="II1061" s="609"/>
      <c r="IJ1061" s="609"/>
      <c r="IK1061" s="609"/>
      <c r="IL1061" s="609"/>
      <c r="IM1061" s="609"/>
      <c r="IN1061" s="609"/>
      <c r="IO1061" s="609"/>
      <c r="IP1061" s="609"/>
      <c r="IQ1061" s="609"/>
      <c r="IR1061" s="609"/>
      <c r="IS1061" s="609"/>
      <c r="IT1061" s="609"/>
      <c r="IU1061" s="609"/>
      <c r="IV1061" s="609"/>
    </row>
    <row r="1062" spans="1:256" s="708" customFormat="1" ht="36" x14ac:dyDescent="0.25">
      <c r="A1062" s="634" t="s">
        <v>1705</v>
      </c>
      <c r="B1062" s="679"/>
      <c r="C1062" s="634"/>
      <c r="D1062" s="693" t="s">
        <v>1769</v>
      </c>
      <c r="E1062" s="634"/>
      <c r="F1062" s="635">
        <v>1</v>
      </c>
      <c r="G1062" s="681">
        <v>1.1000000000000001</v>
      </c>
      <c r="H1062" s="635"/>
      <c r="I1062" s="691">
        <f>ROUND(F1062*G1062,2)</f>
        <v>1.1000000000000001</v>
      </c>
      <c r="J1062" s="691"/>
      <c r="K1062" s="635"/>
      <c r="L1062" s="635"/>
      <c r="M1062" s="635"/>
      <c r="N1062" s="635"/>
      <c r="O1062" s="635"/>
      <c r="P1062" s="635"/>
      <c r="Q1062" s="609"/>
      <c r="R1062" s="609"/>
      <c r="S1062" s="609"/>
      <c r="T1062" s="609"/>
      <c r="U1062" s="609"/>
      <c r="V1062" s="609"/>
      <c r="W1062" s="609"/>
      <c r="X1062" s="609"/>
      <c r="Y1062" s="609"/>
      <c r="Z1062" s="609"/>
      <c r="AA1062" s="609"/>
      <c r="AB1062" s="609"/>
      <c r="AC1062" s="609"/>
      <c r="AD1062" s="609"/>
      <c r="AE1062" s="609"/>
      <c r="AF1062" s="609"/>
      <c r="AG1062" s="609"/>
      <c r="AH1062" s="609"/>
      <c r="AI1062" s="609"/>
      <c r="AJ1062" s="609"/>
      <c r="AK1062" s="609"/>
      <c r="AL1062" s="609"/>
      <c r="AM1062" s="609"/>
      <c r="AN1062" s="609"/>
      <c r="AO1062" s="609"/>
      <c r="AP1062" s="609"/>
      <c r="AQ1062" s="609"/>
      <c r="AR1062" s="609"/>
      <c r="AS1062" s="609"/>
      <c r="AT1062" s="609"/>
      <c r="AU1062" s="609"/>
      <c r="AV1062" s="609"/>
      <c r="AW1062" s="609"/>
      <c r="AX1062" s="609"/>
      <c r="AY1062" s="609"/>
      <c r="AZ1062" s="609"/>
      <c r="BA1062" s="609"/>
      <c r="BB1062" s="609"/>
      <c r="BC1062" s="609"/>
      <c r="BD1062" s="609"/>
      <c r="BE1062" s="609"/>
      <c r="BF1062" s="609"/>
      <c r="BG1062" s="609"/>
      <c r="BH1062" s="609"/>
      <c r="BI1062" s="609"/>
      <c r="BJ1062" s="609"/>
      <c r="BK1062" s="609"/>
      <c r="BL1062" s="609"/>
      <c r="BM1062" s="609"/>
      <c r="BN1062" s="609"/>
      <c r="BO1062" s="609"/>
      <c r="BP1062" s="609"/>
      <c r="BQ1062" s="609"/>
      <c r="BR1062" s="609"/>
      <c r="BS1062" s="609"/>
      <c r="BT1062" s="609"/>
      <c r="BU1062" s="609"/>
      <c r="BV1062" s="609"/>
      <c r="BW1062" s="609"/>
      <c r="BX1062" s="609"/>
      <c r="BY1062" s="609"/>
      <c r="BZ1062" s="609"/>
      <c r="CA1062" s="609"/>
      <c r="CB1062" s="609"/>
      <c r="CC1062" s="609"/>
      <c r="CD1062" s="609"/>
      <c r="CE1062" s="609"/>
      <c r="CF1062" s="609"/>
      <c r="CG1062" s="609"/>
      <c r="CH1062" s="609"/>
      <c r="CI1062" s="609"/>
      <c r="CJ1062" s="609"/>
      <c r="CK1062" s="609"/>
      <c r="CL1062" s="609"/>
      <c r="CM1062" s="609"/>
      <c r="CN1062" s="609"/>
      <c r="CO1062" s="609"/>
      <c r="CP1062" s="609"/>
      <c r="CQ1062" s="609"/>
      <c r="CR1062" s="609"/>
      <c r="CS1062" s="609"/>
      <c r="CT1062" s="609"/>
      <c r="CU1062" s="609"/>
      <c r="CV1062" s="609"/>
      <c r="CW1062" s="609"/>
      <c r="CX1062" s="609"/>
      <c r="CY1062" s="609"/>
      <c r="CZ1062" s="609"/>
      <c r="DA1062" s="609"/>
      <c r="DB1062" s="609"/>
      <c r="DC1062" s="609"/>
      <c r="DD1062" s="609"/>
      <c r="DE1062" s="609"/>
      <c r="DF1062" s="609"/>
      <c r="DG1062" s="609"/>
      <c r="DH1062" s="609"/>
      <c r="DI1062" s="609"/>
      <c r="DJ1062" s="609"/>
      <c r="DK1062" s="609"/>
      <c r="DL1062" s="609"/>
      <c r="DM1062" s="609"/>
      <c r="DN1062" s="609"/>
      <c r="DO1062" s="609"/>
      <c r="DP1062" s="609"/>
      <c r="DQ1062" s="609"/>
      <c r="DR1062" s="609"/>
      <c r="DS1062" s="609"/>
      <c r="DT1062" s="609"/>
      <c r="DU1062" s="609"/>
      <c r="DV1062" s="609"/>
      <c r="DW1062" s="609"/>
      <c r="DX1062" s="609"/>
      <c r="DY1062" s="609"/>
      <c r="DZ1062" s="609"/>
      <c r="EA1062" s="609"/>
      <c r="EB1062" s="609"/>
      <c r="EC1062" s="609"/>
      <c r="ED1062" s="609"/>
      <c r="EE1062" s="609"/>
      <c r="EF1062" s="609"/>
      <c r="EG1062" s="609"/>
      <c r="EH1062" s="609"/>
      <c r="EI1062" s="609"/>
      <c r="EJ1062" s="609"/>
      <c r="EK1062" s="609"/>
      <c r="EL1062" s="609"/>
      <c r="EM1062" s="609"/>
      <c r="EN1062" s="609"/>
      <c r="EO1062" s="609"/>
      <c r="EP1062" s="609"/>
      <c r="EQ1062" s="609"/>
      <c r="ER1062" s="609"/>
      <c r="ES1062" s="609"/>
      <c r="ET1062" s="609"/>
      <c r="EU1062" s="609"/>
      <c r="EV1062" s="609"/>
      <c r="EW1062" s="609"/>
      <c r="EX1062" s="609"/>
      <c r="EY1062" s="609"/>
      <c r="EZ1062" s="609"/>
      <c r="FA1062" s="609"/>
      <c r="FB1062" s="609"/>
      <c r="FC1062" s="609"/>
      <c r="FD1062" s="609"/>
      <c r="FE1062" s="609"/>
      <c r="FF1062" s="609"/>
      <c r="FG1062" s="609"/>
      <c r="FH1062" s="609"/>
      <c r="FI1062" s="609"/>
      <c r="FJ1062" s="609"/>
      <c r="FK1062" s="609"/>
      <c r="FL1062" s="609"/>
      <c r="FM1062" s="609"/>
      <c r="FN1062" s="609"/>
      <c r="FO1062" s="609"/>
      <c r="FP1062" s="609"/>
      <c r="FQ1062" s="609"/>
      <c r="FR1062" s="609"/>
      <c r="FS1062" s="609"/>
      <c r="FT1062" s="609"/>
      <c r="FU1062" s="609"/>
      <c r="FV1062" s="609"/>
      <c r="FW1062" s="609"/>
      <c r="FX1062" s="609"/>
      <c r="FY1062" s="609"/>
      <c r="FZ1062" s="609"/>
      <c r="GA1062" s="609"/>
      <c r="GB1062" s="609"/>
      <c r="GC1062" s="609"/>
      <c r="GD1062" s="609"/>
      <c r="GE1062" s="609"/>
      <c r="GF1062" s="609"/>
      <c r="GG1062" s="609"/>
      <c r="GH1062" s="609"/>
      <c r="GI1062" s="609"/>
      <c r="GJ1062" s="609"/>
      <c r="GK1062" s="609"/>
      <c r="GL1062" s="609"/>
      <c r="GM1062" s="609"/>
      <c r="GN1062" s="609"/>
      <c r="GO1062" s="609"/>
      <c r="GP1062" s="609"/>
      <c r="GQ1062" s="609"/>
      <c r="GR1062" s="609"/>
      <c r="GS1062" s="609"/>
      <c r="GT1062" s="609"/>
      <c r="GU1062" s="609"/>
      <c r="GV1062" s="609"/>
      <c r="GW1062" s="609"/>
      <c r="GX1062" s="609"/>
      <c r="GY1062" s="609"/>
      <c r="GZ1062" s="609"/>
      <c r="HA1062" s="609"/>
      <c r="HB1062" s="609"/>
      <c r="HC1062" s="609"/>
      <c r="HD1062" s="609"/>
      <c r="HE1062" s="609"/>
      <c r="HF1062" s="609"/>
      <c r="HG1062" s="609"/>
      <c r="HH1062" s="609"/>
      <c r="HI1062" s="609"/>
      <c r="HJ1062" s="609"/>
      <c r="HK1062" s="609"/>
      <c r="HL1062" s="609"/>
      <c r="HM1062" s="609"/>
      <c r="HN1062" s="609"/>
      <c r="HO1062" s="609"/>
      <c r="HP1062" s="609"/>
      <c r="HQ1062" s="609"/>
      <c r="HR1062" s="609"/>
      <c r="HS1062" s="609"/>
      <c r="HT1062" s="609"/>
      <c r="HU1062" s="609"/>
      <c r="HV1062" s="609"/>
      <c r="HW1062" s="609"/>
      <c r="HX1062" s="609"/>
      <c r="HY1062" s="609"/>
      <c r="HZ1062" s="609"/>
      <c r="IA1062" s="609"/>
      <c r="IB1062" s="609"/>
      <c r="IC1062" s="609"/>
      <c r="ID1062" s="609"/>
      <c r="IE1062" s="609"/>
      <c r="IF1062" s="609"/>
      <c r="IG1062" s="609"/>
      <c r="IH1062" s="609"/>
      <c r="II1062" s="609"/>
      <c r="IJ1062" s="609"/>
      <c r="IK1062" s="609"/>
      <c r="IL1062" s="609"/>
      <c r="IM1062" s="609"/>
      <c r="IN1062" s="609"/>
      <c r="IO1062" s="609"/>
      <c r="IP1062" s="609"/>
      <c r="IQ1062" s="609"/>
      <c r="IR1062" s="609"/>
      <c r="IS1062" s="609"/>
      <c r="IT1062" s="609"/>
      <c r="IU1062" s="609"/>
      <c r="IV1062" s="609"/>
    </row>
    <row r="1063" spans="1:256" s="708" customFormat="1" x14ac:dyDescent="0.25">
      <c r="A1063" s="634" t="s">
        <v>277</v>
      </c>
      <c r="B1063" s="634">
        <v>247</v>
      </c>
      <c r="C1063" s="634"/>
      <c r="D1063" s="635" t="s">
        <v>1070</v>
      </c>
      <c r="E1063" s="634" t="s">
        <v>229</v>
      </c>
      <c r="F1063" s="635">
        <v>0.05</v>
      </c>
      <c r="G1063" s="681">
        <v>9.65</v>
      </c>
      <c r="H1063" s="635"/>
      <c r="I1063" s="691"/>
      <c r="J1063" s="691">
        <f>ROUND(F1063*G1063,2)</f>
        <v>0.48</v>
      </c>
      <c r="K1063" s="635"/>
      <c r="L1063" s="635"/>
      <c r="M1063" s="635"/>
      <c r="N1063" s="635"/>
      <c r="O1063" s="635"/>
      <c r="P1063" s="635"/>
      <c r="Q1063" s="609"/>
      <c r="R1063" s="609"/>
      <c r="S1063" s="609"/>
      <c r="T1063" s="609"/>
      <c r="U1063" s="609"/>
      <c r="V1063" s="609"/>
      <c r="W1063" s="609"/>
      <c r="X1063" s="609"/>
      <c r="Y1063" s="609"/>
      <c r="Z1063" s="609"/>
      <c r="AA1063" s="609"/>
      <c r="AB1063" s="609"/>
      <c r="AC1063" s="609"/>
      <c r="AD1063" s="609"/>
      <c r="AE1063" s="609"/>
      <c r="AF1063" s="609"/>
      <c r="AG1063" s="609"/>
      <c r="AH1063" s="609"/>
      <c r="AI1063" s="609"/>
      <c r="AJ1063" s="609"/>
      <c r="AK1063" s="609"/>
      <c r="AL1063" s="609"/>
      <c r="AM1063" s="609"/>
      <c r="AN1063" s="609"/>
      <c r="AO1063" s="609"/>
      <c r="AP1063" s="609"/>
      <c r="AQ1063" s="609"/>
      <c r="AR1063" s="609"/>
      <c r="AS1063" s="609"/>
      <c r="AT1063" s="609"/>
      <c r="AU1063" s="609"/>
      <c r="AV1063" s="609"/>
      <c r="AW1063" s="609"/>
      <c r="AX1063" s="609"/>
      <c r="AY1063" s="609"/>
      <c r="AZ1063" s="609"/>
      <c r="BA1063" s="609"/>
      <c r="BB1063" s="609"/>
      <c r="BC1063" s="609"/>
      <c r="BD1063" s="609"/>
      <c r="BE1063" s="609"/>
      <c r="BF1063" s="609"/>
      <c r="BG1063" s="609"/>
      <c r="BH1063" s="609"/>
      <c r="BI1063" s="609"/>
      <c r="BJ1063" s="609"/>
      <c r="BK1063" s="609"/>
      <c r="BL1063" s="609"/>
      <c r="BM1063" s="609"/>
      <c r="BN1063" s="609"/>
      <c r="BO1063" s="609"/>
      <c r="BP1063" s="609"/>
      <c r="BQ1063" s="609"/>
      <c r="BR1063" s="609"/>
      <c r="BS1063" s="609"/>
      <c r="BT1063" s="609"/>
      <c r="BU1063" s="609"/>
      <c r="BV1063" s="609"/>
      <c r="BW1063" s="609"/>
      <c r="BX1063" s="609"/>
      <c r="BY1063" s="609"/>
      <c r="BZ1063" s="609"/>
      <c r="CA1063" s="609"/>
      <c r="CB1063" s="609"/>
      <c r="CC1063" s="609"/>
      <c r="CD1063" s="609"/>
      <c r="CE1063" s="609"/>
      <c r="CF1063" s="609"/>
      <c r="CG1063" s="609"/>
      <c r="CH1063" s="609"/>
      <c r="CI1063" s="609"/>
      <c r="CJ1063" s="609"/>
      <c r="CK1063" s="609"/>
      <c r="CL1063" s="609"/>
      <c r="CM1063" s="609"/>
      <c r="CN1063" s="609"/>
      <c r="CO1063" s="609"/>
      <c r="CP1063" s="609"/>
      <c r="CQ1063" s="609"/>
      <c r="CR1063" s="609"/>
      <c r="CS1063" s="609"/>
      <c r="CT1063" s="609"/>
      <c r="CU1063" s="609"/>
      <c r="CV1063" s="609"/>
      <c r="CW1063" s="609"/>
      <c r="CX1063" s="609"/>
      <c r="CY1063" s="609"/>
      <c r="CZ1063" s="609"/>
      <c r="DA1063" s="609"/>
      <c r="DB1063" s="609"/>
      <c r="DC1063" s="609"/>
      <c r="DD1063" s="609"/>
      <c r="DE1063" s="609"/>
      <c r="DF1063" s="609"/>
      <c r="DG1063" s="609"/>
      <c r="DH1063" s="609"/>
      <c r="DI1063" s="609"/>
      <c r="DJ1063" s="609"/>
      <c r="DK1063" s="609"/>
      <c r="DL1063" s="609"/>
      <c r="DM1063" s="609"/>
      <c r="DN1063" s="609"/>
      <c r="DO1063" s="609"/>
      <c r="DP1063" s="609"/>
      <c r="DQ1063" s="609"/>
      <c r="DR1063" s="609"/>
      <c r="DS1063" s="609"/>
      <c r="DT1063" s="609"/>
      <c r="DU1063" s="609"/>
      <c r="DV1063" s="609"/>
      <c r="DW1063" s="609"/>
      <c r="DX1063" s="609"/>
      <c r="DY1063" s="609"/>
      <c r="DZ1063" s="609"/>
      <c r="EA1063" s="609"/>
      <c r="EB1063" s="609"/>
      <c r="EC1063" s="609"/>
      <c r="ED1063" s="609"/>
      <c r="EE1063" s="609"/>
      <c r="EF1063" s="609"/>
      <c r="EG1063" s="609"/>
      <c r="EH1063" s="609"/>
      <c r="EI1063" s="609"/>
      <c r="EJ1063" s="609"/>
      <c r="EK1063" s="609"/>
      <c r="EL1063" s="609"/>
      <c r="EM1063" s="609"/>
      <c r="EN1063" s="609"/>
      <c r="EO1063" s="609"/>
      <c r="EP1063" s="609"/>
      <c r="EQ1063" s="609"/>
      <c r="ER1063" s="609"/>
      <c r="ES1063" s="609"/>
      <c r="ET1063" s="609"/>
      <c r="EU1063" s="609"/>
      <c r="EV1063" s="609"/>
      <c r="EW1063" s="609"/>
      <c r="EX1063" s="609"/>
      <c r="EY1063" s="609"/>
      <c r="EZ1063" s="609"/>
      <c r="FA1063" s="609"/>
      <c r="FB1063" s="609"/>
      <c r="FC1063" s="609"/>
      <c r="FD1063" s="609"/>
      <c r="FE1063" s="609"/>
      <c r="FF1063" s="609"/>
      <c r="FG1063" s="609"/>
      <c r="FH1063" s="609"/>
      <c r="FI1063" s="609"/>
      <c r="FJ1063" s="609"/>
      <c r="FK1063" s="609"/>
      <c r="FL1063" s="609"/>
      <c r="FM1063" s="609"/>
      <c r="FN1063" s="609"/>
      <c r="FO1063" s="609"/>
      <c r="FP1063" s="609"/>
      <c r="FQ1063" s="609"/>
      <c r="FR1063" s="609"/>
      <c r="FS1063" s="609"/>
      <c r="FT1063" s="609"/>
      <c r="FU1063" s="609"/>
      <c r="FV1063" s="609"/>
      <c r="FW1063" s="609"/>
      <c r="FX1063" s="609"/>
      <c r="FY1063" s="609"/>
      <c r="FZ1063" s="609"/>
      <c r="GA1063" s="609"/>
      <c r="GB1063" s="609"/>
      <c r="GC1063" s="609"/>
      <c r="GD1063" s="609"/>
      <c r="GE1063" s="609"/>
      <c r="GF1063" s="609"/>
      <c r="GG1063" s="609"/>
      <c r="GH1063" s="609"/>
      <c r="GI1063" s="609"/>
      <c r="GJ1063" s="609"/>
      <c r="GK1063" s="609"/>
      <c r="GL1063" s="609"/>
      <c r="GM1063" s="609"/>
      <c r="GN1063" s="609"/>
      <c r="GO1063" s="609"/>
      <c r="GP1063" s="609"/>
      <c r="GQ1063" s="609"/>
      <c r="GR1063" s="609"/>
      <c r="GS1063" s="609"/>
      <c r="GT1063" s="609"/>
      <c r="GU1063" s="609"/>
      <c r="GV1063" s="609"/>
      <c r="GW1063" s="609"/>
      <c r="GX1063" s="609"/>
      <c r="GY1063" s="609"/>
      <c r="GZ1063" s="609"/>
      <c r="HA1063" s="609"/>
      <c r="HB1063" s="609"/>
      <c r="HC1063" s="609"/>
      <c r="HD1063" s="609"/>
      <c r="HE1063" s="609"/>
      <c r="HF1063" s="609"/>
      <c r="HG1063" s="609"/>
      <c r="HH1063" s="609"/>
      <c r="HI1063" s="609"/>
      <c r="HJ1063" s="609"/>
      <c r="HK1063" s="609"/>
      <c r="HL1063" s="609"/>
      <c r="HM1063" s="609"/>
      <c r="HN1063" s="609"/>
      <c r="HO1063" s="609"/>
      <c r="HP1063" s="609"/>
      <c r="HQ1063" s="609"/>
      <c r="HR1063" s="609"/>
      <c r="HS1063" s="609"/>
      <c r="HT1063" s="609"/>
      <c r="HU1063" s="609"/>
      <c r="HV1063" s="609"/>
      <c r="HW1063" s="609"/>
      <c r="HX1063" s="609"/>
      <c r="HY1063" s="609"/>
      <c r="HZ1063" s="609"/>
      <c r="IA1063" s="609"/>
      <c r="IB1063" s="609"/>
      <c r="IC1063" s="609"/>
      <c r="ID1063" s="609"/>
      <c r="IE1063" s="609"/>
      <c r="IF1063" s="609"/>
      <c r="IG1063" s="609"/>
      <c r="IH1063" s="609"/>
      <c r="II1063" s="609"/>
      <c r="IJ1063" s="609"/>
      <c r="IK1063" s="609"/>
      <c r="IL1063" s="609"/>
      <c r="IM1063" s="609"/>
      <c r="IN1063" s="609"/>
      <c r="IO1063" s="609"/>
      <c r="IP1063" s="609"/>
      <c r="IQ1063" s="609"/>
      <c r="IR1063" s="609"/>
      <c r="IS1063" s="609"/>
      <c r="IT1063" s="609"/>
      <c r="IU1063" s="609"/>
      <c r="IV1063" s="609"/>
    </row>
    <row r="1064" spans="1:256" s="708" customFormat="1" x14ac:dyDescent="0.25">
      <c r="A1064" s="662"/>
      <c r="B1064" s="662"/>
      <c r="C1064" s="663" t="s">
        <v>1770</v>
      </c>
      <c r="D1064" s="630" t="s">
        <v>1771</v>
      </c>
      <c r="E1064" s="631" t="s">
        <v>251</v>
      </c>
      <c r="F1064" s="632"/>
      <c r="G1064" s="664"/>
      <c r="H1064" s="632">
        <v>40</v>
      </c>
      <c r="I1064" s="677">
        <f>SUM(I1065:I1066)</f>
        <v>2.99</v>
      </c>
      <c r="J1064" s="677">
        <f>SUM(J1065:J1066)</f>
        <v>0.97</v>
      </c>
      <c r="K1064" s="677">
        <f>I1064+J1064</f>
        <v>3.96</v>
      </c>
      <c r="L1064" s="622">
        <f>H1064*I1064</f>
        <v>119.60000000000001</v>
      </c>
      <c r="M1064" s="622">
        <f>H1064*J1064</f>
        <v>38.799999999999997</v>
      </c>
      <c r="N1064" s="622">
        <f>L1064+M1064</f>
        <v>158.4</v>
      </c>
      <c r="O1064" s="622">
        <f>N1064*$P$4</f>
        <v>38.903040000000004</v>
      </c>
      <c r="P1064" s="622">
        <f>N1064+O1064</f>
        <v>197.30304000000001</v>
      </c>
      <c r="Q1064" s="609"/>
      <c r="R1064" s="609"/>
      <c r="S1064" s="609"/>
      <c r="T1064" s="609"/>
      <c r="U1064" s="609"/>
      <c r="V1064" s="609"/>
      <c r="W1064" s="609"/>
      <c r="X1064" s="609"/>
      <c r="Y1064" s="609"/>
      <c r="Z1064" s="609"/>
      <c r="AA1064" s="609"/>
      <c r="AB1064" s="609"/>
      <c r="AC1064" s="609"/>
      <c r="AD1064" s="609"/>
      <c r="AE1064" s="609"/>
      <c r="AF1064" s="609"/>
      <c r="AG1064" s="609"/>
      <c r="AH1064" s="609"/>
      <c r="AI1064" s="609"/>
      <c r="AJ1064" s="609"/>
      <c r="AK1064" s="609"/>
      <c r="AL1064" s="609"/>
      <c r="AM1064" s="609"/>
      <c r="AN1064" s="609"/>
      <c r="AO1064" s="609"/>
      <c r="AP1064" s="609"/>
      <c r="AQ1064" s="609"/>
      <c r="AR1064" s="609"/>
      <c r="AS1064" s="609"/>
      <c r="AT1064" s="609"/>
      <c r="AU1064" s="609"/>
      <c r="AV1064" s="609"/>
      <c r="AW1064" s="609"/>
      <c r="AX1064" s="609"/>
      <c r="AY1064" s="609"/>
      <c r="AZ1064" s="609"/>
      <c r="BA1064" s="609"/>
      <c r="BB1064" s="609"/>
      <c r="BC1064" s="609"/>
      <c r="BD1064" s="609"/>
      <c r="BE1064" s="609"/>
      <c r="BF1064" s="609"/>
      <c r="BG1064" s="609"/>
      <c r="BH1064" s="609"/>
      <c r="BI1064" s="609"/>
      <c r="BJ1064" s="609"/>
      <c r="BK1064" s="609"/>
      <c r="BL1064" s="609"/>
      <c r="BM1064" s="609"/>
      <c r="BN1064" s="609"/>
      <c r="BO1064" s="609"/>
      <c r="BP1064" s="609"/>
      <c r="BQ1064" s="609"/>
      <c r="BR1064" s="609"/>
      <c r="BS1064" s="609"/>
      <c r="BT1064" s="609"/>
      <c r="BU1064" s="609"/>
      <c r="BV1064" s="609"/>
      <c r="BW1064" s="609"/>
      <c r="BX1064" s="609"/>
      <c r="BY1064" s="609"/>
      <c r="BZ1064" s="609"/>
      <c r="CA1064" s="609"/>
      <c r="CB1064" s="609"/>
      <c r="CC1064" s="609"/>
      <c r="CD1064" s="609"/>
      <c r="CE1064" s="609"/>
      <c r="CF1064" s="609"/>
      <c r="CG1064" s="609"/>
      <c r="CH1064" s="609"/>
      <c r="CI1064" s="609"/>
      <c r="CJ1064" s="609"/>
      <c r="CK1064" s="609"/>
      <c r="CL1064" s="609"/>
      <c r="CM1064" s="609"/>
      <c r="CN1064" s="609"/>
      <c r="CO1064" s="609"/>
      <c r="CP1064" s="609"/>
      <c r="CQ1064" s="609"/>
      <c r="CR1064" s="609"/>
      <c r="CS1064" s="609"/>
      <c r="CT1064" s="609"/>
      <c r="CU1064" s="609"/>
      <c r="CV1064" s="609"/>
      <c r="CW1064" s="609"/>
      <c r="CX1064" s="609"/>
      <c r="CY1064" s="609"/>
      <c r="CZ1064" s="609"/>
      <c r="DA1064" s="609"/>
      <c r="DB1064" s="609"/>
      <c r="DC1064" s="609"/>
      <c r="DD1064" s="609"/>
      <c r="DE1064" s="609"/>
      <c r="DF1064" s="609"/>
      <c r="DG1064" s="609"/>
      <c r="DH1064" s="609"/>
      <c r="DI1064" s="609"/>
      <c r="DJ1064" s="609"/>
      <c r="DK1064" s="609"/>
      <c r="DL1064" s="609"/>
      <c r="DM1064" s="609"/>
      <c r="DN1064" s="609"/>
      <c r="DO1064" s="609"/>
      <c r="DP1064" s="609"/>
      <c r="DQ1064" s="609"/>
      <c r="DR1064" s="609"/>
      <c r="DS1064" s="609"/>
      <c r="DT1064" s="609"/>
      <c r="DU1064" s="609"/>
      <c r="DV1064" s="609"/>
      <c r="DW1064" s="609"/>
      <c r="DX1064" s="609"/>
      <c r="DY1064" s="609"/>
      <c r="DZ1064" s="609"/>
      <c r="EA1064" s="609"/>
      <c r="EB1064" s="609"/>
      <c r="EC1064" s="609"/>
      <c r="ED1064" s="609"/>
      <c r="EE1064" s="609"/>
      <c r="EF1064" s="609"/>
      <c r="EG1064" s="609"/>
      <c r="EH1064" s="609"/>
      <c r="EI1064" s="609"/>
      <c r="EJ1064" s="609"/>
      <c r="EK1064" s="609"/>
      <c r="EL1064" s="609"/>
      <c r="EM1064" s="609"/>
      <c r="EN1064" s="609"/>
      <c r="EO1064" s="609"/>
      <c r="EP1064" s="609"/>
      <c r="EQ1064" s="609"/>
      <c r="ER1064" s="609"/>
      <c r="ES1064" s="609"/>
      <c r="ET1064" s="609"/>
      <c r="EU1064" s="609"/>
      <c r="EV1064" s="609"/>
      <c r="EW1064" s="609"/>
      <c r="EX1064" s="609"/>
      <c r="EY1064" s="609"/>
      <c r="EZ1064" s="609"/>
      <c r="FA1064" s="609"/>
      <c r="FB1064" s="609"/>
      <c r="FC1064" s="609"/>
      <c r="FD1064" s="609"/>
      <c r="FE1064" s="609"/>
      <c r="FF1064" s="609"/>
      <c r="FG1064" s="609"/>
      <c r="FH1064" s="609"/>
      <c r="FI1064" s="609"/>
      <c r="FJ1064" s="609"/>
      <c r="FK1064" s="609"/>
      <c r="FL1064" s="609"/>
      <c r="FM1064" s="609"/>
      <c r="FN1064" s="609"/>
      <c r="FO1064" s="609"/>
      <c r="FP1064" s="609"/>
      <c r="FQ1064" s="609"/>
      <c r="FR1064" s="609"/>
      <c r="FS1064" s="609"/>
      <c r="FT1064" s="609"/>
      <c r="FU1064" s="609"/>
      <c r="FV1064" s="609"/>
      <c r="FW1064" s="609"/>
      <c r="FX1064" s="609"/>
      <c r="FY1064" s="609"/>
      <c r="FZ1064" s="609"/>
      <c r="GA1064" s="609"/>
      <c r="GB1064" s="609"/>
      <c r="GC1064" s="609"/>
      <c r="GD1064" s="609"/>
      <c r="GE1064" s="609"/>
      <c r="GF1064" s="609"/>
      <c r="GG1064" s="609"/>
      <c r="GH1064" s="609"/>
      <c r="GI1064" s="609"/>
      <c r="GJ1064" s="609"/>
      <c r="GK1064" s="609"/>
      <c r="GL1064" s="609"/>
      <c r="GM1064" s="609"/>
      <c r="GN1064" s="609"/>
      <c r="GO1064" s="609"/>
      <c r="GP1064" s="609"/>
      <c r="GQ1064" s="609"/>
      <c r="GR1064" s="609"/>
      <c r="GS1064" s="609"/>
      <c r="GT1064" s="609"/>
      <c r="GU1064" s="609"/>
      <c r="GV1064" s="609"/>
      <c r="GW1064" s="609"/>
      <c r="GX1064" s="609"/>
      <c r="GY1064" s="609"/>
      <c r="GZ1064" s="609"/>
      <c r="HA1064" s="609"/>
      <c r="HB1064" s="609"/>
      <c r="HC1064" s="609"/>
      <c r="HD1064" s="609"/>
      <c r="HE1064" s="609"/>
      <c r="HF1064" s="609"/>
      <c r="HG1064" s="609"/>
      <c r="HH1064" s="609"/>
      <c r="HI1064" s="609"/>
      <c r="HJ1064" s="609"/>
      <c r="HK1064" s="609"/>
      <c r="HL1064" s="609"/>
      <c r="HM1064" s="609"/>
      <c r="HN1064" s="609"/>
      <c r="HO1064" s="609"/>
      <c r="HP1064" s="609"/>
      <c r="HQ1064" s="609"/>
      <c r="HR1064" s="609"/>
      <c r="HS1064" s="609"/>
      <c r="HT1064" s="609"/>
      <c r="HU1064" s="609"/>
      <c r="HV1064" s="609"/>
      <c r="HW1064" s="609"/>
      <c r="HX1064" s="609"/>
      <c r="HY1064" s="609"/>
      <c r="HZ1064" s="609"/>
      <c r="IA1064" s="609"/>
      <c r="IB1064" s="609"/>
      <c r="IC1064" s="609"/>
      <c r="ID1064" s="609"/>
      <c r="IE1064" s="609"/>
      <c r="IF1064" s="609"/>
      <c r="IG1064" s="609"/>
      <c r="IH1064" s="609"/>
      <c r="II1064" s="609"/>
      <c r="IJ1064" s="609"/>
      <c r="IK1064" s="609"/>
      <c r="IL1064" s="609"/>
      <c r="IM1064" s="609"/>
      <c r="IN1064" s="609"/>
      <c r="IO1064" s="609"/>
      <c r="IP1064" s="609"/>
      <c r="IQ1064" s="609"/>
      <c r="IR1064" s="609"/>
      <c r="IS1064" s="609"/>
      <c r="IT1064" s="609"/>
      <c r="IU1064" s="609"/>
      <c r="IV1064" s="609"/>
    </row>
    <row r="1065" spans="1:256" s="708" customFormat="1" x14ac:dyDescent="0.25">
      <c r="A1065" s="634" t="s">
        <v>1705</v>
      </c>
      <c r="B1065" s="724"/>
      <c r="C1065" s="634"/>
      <c r="D1065" s="693" t="s">
        <v>1771</v>
      </c>
      <c r="E1065" s="634"/>
      <c r="F1065" s="635">
        <v>1</v>
      </c>
      <c r="G1065" s="681">
        <v>2.99</v>
      </c>
      <c r="H1065" s="635"/>
      <c r="I1065" s="691">
        <f>ROUND(F1065*G1065,2)</f>
        <v>2.99</v>
      </c>
      <c r="J1065" s="691"/>
      <c r="K1065" s="635"/>
      <c r="L1065" s="635"/>
      <c r="M1065" s="635"/>
      <c r="N1065" s="635"/>
      <c r="O1065" s="635"/>
      <c r="P1065" s="635"/>
      <c r="Q1065" s="609"/>
      <c r="R1065" s="609"/>
      <c r="S1065" s="609"/>
      <c r="T1065" s="609"/>
      <c r="U1065" s="609"/>
      <c r="V1065" s="609"/>
      <c r="W1065" s="609"/>
      <c r="X1065" s="609"/>
      <c r="Y1065" s="609"/>
      <c r="Z1065" s="609"/>
      <c r="AA1065" s="609"/>
      <c r="AB1065" s="609"/>
      <c r="AC1065" s="609"/>
      <c r="AD1065" s="609"/>
      <c r="AE1065" s="609"/>
      <c r="AF1065" s="609"/>
      <c r="AG1065" s="609"/>
      <c r="AH1065" s="609"/>
      <c r="AI1065" s="609"/>
      <c r="AJ1065" s="609"/>
      <c r="AK1065" s="609"/>
      <c r="AL1065" s="609"/>
      <c r="AM1065" s="609"/>
      <c r="AN1065" s="609"/>
      <c r="AO1065" s="609"/>
      <c r="AP1065" s="609"/>
      <c r="AQ1065" s="609"/>
      <c r="AR1065" s="609"/>
      <c r="AS1065" s="609"/>
      <c r="AT1065" s="609"/>
      <c r="AU1065" s="609"/>
      <c r="AV1065" s="609"/>
      <c r="AW1065" s="609"/>
      <c r="AX1065" s="609"/>
      <c r="AY1065" s="609"/>
      <c r="AZ1065" s="609"/>
      <c r="BA1065" s="609"/>
      <c r="BB1065" s="609"/>
      <c r="BC1065" s="609"/>
      <c r="BD1065" s="609"/>
      <c r="BE1065" s="609"/>
      <c r="BF1065" s="609"/>
      <c r="BG1065" s="609"/>
      <c r="BH1065" s="609"/>
      <c r="BI1065" s="609"/>
      <c r="BJ1065" s="609"/>
      <c r="BK1065" s="609"/>
      <c r="BL1065" s="609"/>
      <c r="BM1065" s="609"/>
      <c r="BN1065" s="609"/>
      <c r="BO1065" s="609"/>
      <c r="BP1065" s="609"/>
      <c r="BQ1065" s="609"/>
      <c r="BR1065" s="609"/>
      <c r="BS1065" s="609"/>
      <c r="BT1065" s="609"/>
      <c r="BU1065" s="609"/>
      <c r="BV1065" s="609"/>
      <c r="BW1065" s="609"/>
      <c r="BX1065" s="609"/>
      <c r="BY1065" s="609"/>
      <c r="BZ1065" s="609"/>
      <c r="CA1065" s="609"/>
      <c r="CB1065" s="609"/>
      <c r="CC1065" s="609"/>
      <c r="CD1065" s="609"/>
      <c r="CE1065" s="609"/>
      <c r="CF1065" s="609"/>
      <c r="CG1065" s="609"/>
      <c r="CH1065" s="609"/>
      <c r="CI1065" s="609"/>
      <c r="CJ1065" s="609"/>
      <c r="CK1065" s="609"/>
      <c r="CL1065" s="609"/>
      <c r="CM1065" s="609"/>
      <c r="CN1065" s="609"/>
      <c r="CO1065" s="609"/>
      <c r="CP1065" s="609"/>
      <c r="CQ1065" s="609"/>
      <c r="CR1065" s="609"/>
      <c r="CS1065" s="609"/>
      <c r="CT1065" s="609"/>
      <c r="CU1065" s="609"/>
      <c r="CV1065" s="609"/>
      <c r="CW1065" s="609"/>
      <c r="CX1065" s="609"/>
      <c r="CY1065" s="609"/>
      <c r="CZ1065" s="609"/>
      <c r="DA1065" s="609"/>
      <c r="DB1065" s="609"/>
      <c r="DC1065" s="609"/>
      <c r="DD1065" s="609"/>
      <c r="DE1065" s="609"/>
      <c r="DF1065" s="609"/>
      <c r="DG1065" s="609"/>
      <c r="DH1065" s="609"/>
      <c r="DI1065" s="609"/>
      <c r="DJ1065" s="609"/>
      <c r="DK1065" s="609"/>
      <c r="DL1065" s="609"/>
      <c r="DM1065" s="609"/>
      <c r="DN1065" s="609"/>
      <c r="DO1065" s="609"/>
      <c r="DP1065" s="609"/>
      <c r="DQ1065" s="609"/>
      <c r="DR1065" s="609"/>
      <c r="DS1065" s="609"/>
      <c r="DT1065" s="609"/>
      <c r="DU1065" s="609"/>
      <c r="DV1065" s="609"/>
      <c r="DW1065" s="609"/>
      <c r="DX1065" s="609"/>
      <c r="DY1065" s="609"/>
      <c r="DZ1065" s="609"/>
      <c r="EA1065" s="609"/>
      <c r="EB1065" s="609"/>
      <c r="EC1065" s="609"/>
      <c r="ED1065" s="609"/>
      <c r="EE1065" s="609"/>
      <c r="EF1065" s="609"/>
      <c r="EG1065" s="609"/>
      <c r="EH1065" s="609"/>
      <c r="EI1065" s="609"/>
      <c r="EJ1065" s="609"/>
      <c r="EK1065" s="609"/>
      <c r="EL1065" s="609"/>
      <c r="EM1065" s="609"/>
      <c r="EN1065" s="609"/>
      <c r="EO1065" s="609"/>
      <c r="EP1065" s="609"/>
      <c r="EQ1065" s="609"/>
      <c r="ER1065" s="609"/>
      <c r="ES1065" s="609"/>
      <c r="ET1065" s="609"/>
      <c r="EU1065" s="609"/>
      <c r="EV1065" s="609"/>
      <c r="EW1065" s="609"/>
      <c r="EX1065" s="609"/>
      <c r="EY1065" s="609"/>
      <c r="EZ1065" s="609"/>
      <c r="FA1065" s="609"/>
      <c r="FB1065" s="609"/>
      <c r="FC1065" s="609"/>
      <c r="FD1065" s="609"/>
      <c r="FE1065" s="609"/>
      <c r="FF1065" s="609"/>
      <c r="FG1065" s="609"/>
      <c r="FH1065" s="609"/>
      <c r="FI1065" s="609"/>
      <c r="FJ1065" s="609"/>
      <c r="FK1065" s="609"/>
      <c r="FL1065" s="609"/>
      <c r="FM1065" s="609"/>
      <c r="FN1065" s="609"/>
      <c r="FO1065" s="609"/>
      <c r="FP1065" s="609"/>
      <c r="FQ1065" s="609"/>
      <c r="FR1065" s="609"/>
      <c r="FS1065" s="609"/>
      <c r="FT1065" s="609"/>
      <c r="FU1065" s="609"/>
      <c r="FV1065" s="609"/>
      <c r="FW1065" s="609"/>
      <c r="FX1065" s="609"/>
      <c r="FY1065" s="609"/>
      <c r="FZ1065" s="609"/>
      <c r="GA1065" s="609"/>
      <c r="GB1065" s="609"/>
      <c r="GC1065" s="609"/>
      <c r="GD1065" s="609"/>
      <c r="GE1065" s="609"/>
      <c r="GF1065" s="609"/>
      <c r="GG1065" s="609"/>
      <c r="GH1065" s="609"/>
      <c r="GI1065" s="609"/>
      <c r="GJ1065" s="609"/>
      <c r="GK1065" s="609"/>
      <c r="GL1065" s="609"/>
      <c r="GM1065" s="609"/>
      <c r="GN1065" s="609"/>
      <c r="GO1065" s="609"/>
      <c r="GP1065" s="609"/>
      <c r="GQ1065" s="609"/>
      <c r="GR1065" s="609"/>
      <c r="GS1065" s="609"/>
      <c r="GT1065" s="609"/>
      <c r="GU1065" s="609"/>
      <c r="GV1065" s="609"/>
      <c r="GW1065" s="609"/>
      <c r="GX1065" s="609"/>
      <c r="GY1065" s="609"/>
      <c r="GZ1065" s="609"/>
      <c r="HA1065" s="609"/>
      <c r="HB1065" s="609"/>
      <c r="HC1065" s="609"/>
      <c r="HD1065" s="609"/>
      <c r="HE1065" s="609"/>
      <c r="HF1065" s="609"/>
      <c r="HG1065" s="609"/>
      <c r="HH1065" s="609"/>
      <c r="HI1065" s="609"/>
      <c r="HJ1065" s="609"/>
      <c r="HK1065" s="609"/>
      <c r="HL1065" s="609"/>
      <c r="HM1065" s="609"/>
      <c r="HN1065" s="609"/>
      <c r="HO1065" s="609"/>
      <c r="HP1065" s="609"/>
      <c r="HQ1065" s="609"/>
      <c r="HR1065" s="609"/>
      <c r="HS1065" s="609"/>
      <c r="HT1065" s="609"/>
      <c r="HU1065" s="609"/>
      <c r="HV1065" s="609"/>
      <c r="HW1065" s="609"/>
      <c r="HX1065" s="609"/>
      <c r="HY1065" s="609"/>
      <c r="HZ1065" s="609"/>
      <c r="IA1065" s="609"/>
      <c r="IB1065" s="609"/>
      <c r="IC1065" s="609"/>
      <c r="ID1065" s="609"/>
      <c r="IE1065" s="609"/>
      <c r="IF1065" s="609"/>
      <c r="IG1065" s="609"/>
      <c r="IH1065" s="609"/>
      <c r="II1065" s="609"/>
      <c r="IJ1065" s="609"/>
      <c r="IK1065" s="609"/>
      <c r="IL1065" s="609"/>
      <c r="IM1065" s="609"/>
      <c r="IN1065" s="609"/>
      <c r="IO1065" s="609"/>
      <c r="IP1065" s="609"/>
      <c r="IQ1065" s="609"/>
      <c r="IR1065" s="609"/>
      <c r="IS1065" s="609"/>
      <c r="IT1065" s="609"/>
      <c r="IU1065" s="609"/>
      <c r="IV1065" s="609"/>
    </row>
    <row r="1066" spans="1:256" s="708" customFormat="1" x14ac:dyDescent="0.25">
      <c r="A1066" s="634" t="s">
        <v>277</v>
      </c>
      <c r="B1066" s="634">
        <v>247</v>
      </c>
      <c r="C1066" s="634"/>
      <c r="D1066" s="635" t="s">
        <v>1070</v>
      </c>
      <c r="E1066" s="634" t="s">
        <v>229</v>
      </c>
      <c r="F1066" s="635">
        <v>0.1</v>
      </c>
      <c r="G1066" s="681">
        <v>9.65</v>
      </c>
      <c r="H1066" s="635"/>
      <c r="I1066" s="691"/>
      <c r="J1066" s="691">
        <f>ROUND(F1066*G1066,2)</f>
        <v>0.97</v>
      </c>
      <c r="K1066" s="635"/>
      <c r="L1066" s="635"/>
      <c r="M1066" s="635"/>
      <c r="N1066" s="635"/>
      <c r="O1066" s="635"/>
      <c r="P1066" s="635"/>
      <c r="Q1066" s="609"/>
      <c r="R1066" s="609"/>
      <c r="S1066" s="609"/>
      <c r="T1066" s="609"/>
      <c r="U1066" s="609"/>
      <c r="V1066" s="609"/>
      <c r="W1066" s="609"/>
      <c r="X1066" s="609"/>
      <c r="Y1066" s="609"/>
      <c r="Z1066" s="609"/>
      <c r="AA1066" s="609"/>
      <c r="AB1066" s="609"/>
      <c r="AC1066" s="609"/>
      <c r="AD1066" s="609"/>
      <c r="AE1066" s="609"/>
      <c r="AF1066" s="609"/>
      <c r="AG1066" s="609"/>
      <c r="AH1066" s="609"/>
      <c r="AI1066" s="609"/>
      <c r="AJ1066" s="609"/>
      <c r="AK1066" s="609"/>
      <c r="AL1066" s="609"/>
      <c r="AM1066" s="609"/>
      <c r="AN1066" s="609"/>
      <c r="AO1066" s="609"/>
      <c r="AP1066" s="609"/>
      <c r="AQ1066" s="609"/>
      <c r="AR1066" s="609"/>
      <c r="AS1066" s="609"/>
      <c r="AT1066" s="609"/>
      <c r="AU1066" s="609"/>
      <c r="AV1066" s="609"/>
      <c r="AW1066" s="609"/>
      <c r="AX1066" s="609"/>
      <c r="AY1066" s="609"/>
      <c r="AZ1066" s="609"/>
      <c r="BA1066" s="609"/>
      <c r="BB1066" s="609"/>
      <c r="BC1066" s="609"/>
      <c r="BD1066" s="609"/>
      <c r="BE1066" s="609"/>
      <c r="BF1066" s="609"/>
      <c r="BG1066" s="609"/>
      <c r="BH1066" s="609"/>
      <c r="BI1066" s="609"/>
      <c r="BJ1066" s="609"/>
      <c r="BK1066" s="609"/>
      <c r="BL1066" s="609"/>
      <c r="BM1066" s="609"/>
      <c r="BN1066" s="609"/>
      <c r="BO1066" s="609"/>
      <c r="BP1066" s="609"/>
      <c r="BQ1066" s="609"/>
      <c r="BR1066" s="609"/>
      <c r="BS1066" s="609"/>
      <c r="BT1066" s="609"/>
      <c r="BU1066" s="609"/>
      <c r="BV1066" s="609"/>
      <c r="BW1066" s="609"/>
      <c r="BX1066" s="609"/>
      <c r="BY1066" s="609"/>
      <c r="BZ1066" s="609"/>
      <c r="CA1066" s="609"/>
      <c r="CB1066" s="609"/>
      <c r="CC1066" s="609"/>
      <c r="CD1066" s="609"/>
      <c r="CE1066" s="609"/>
      <c r="CF1066" s="609"/>
      <c r="CG1066" s="609"/>
      <c r="CH1066" s="609"/>
      <c r="CI1066" s="609"/>
      <c r="CJ1066" s="609"/>
      <c r="CK1066" s="609"/>
      <c r="CL1066" s="609"/>
      <c r="CM1066" s="609"/>
      <c r="CN1066" s="609"/>
      <c r="CO1066" s="609"/>
      <c r="CP1066" s="609"/>
      <c r="CQ1066" s="609"/>
      <c r="CR1066" s="609"/>
      <c r="CS1066" s="609"/>
      <c r="CT1066" s="609"/>
      <c r="CU1066" s="609"/>
      <c r="CV1066" s="609"/>
      <c r="CW1066" s="609"/>
      <c r="CX1066" s="609"/>
      <c r="CY1066" s="609"/>
      <c r="CZ1066" s="609"/>
      <c r="DA1066" s="609"/>
      <c r="DB1066" s="609"/>
      <c r="DC1066" s="609"/>
      <c r="DD1066" s="609"/>
      <c r="DE1066" s="609"/>
      <c r="DF1066" s="609"/>
      <c r="DG1066" s="609"/>
      <c r="DH1066" s="609"/>
      <c r="DI1066" s="609"/>
      <c r="DJ1066" s="609"/>
      <c r="DK1066" s="609"/>
      <c r="DL1066" s="609"/>
      <c r="DM1066" s="609"/>
      <c r="DN1066" s="609"/>
      <c r="DO1066" s="609"/>
      <c r="DP1066" s="609"/>
      <c r="DQ1066" s="609"/>
      <c r="DR1066" s="609"/>
      <c r="DS1066" s="609"/>
      <c r="DT1066" s="609"/>
      <c r="DU1066" s="609"/>
      <c r="DV1066" s="609"/>
      <c r="DW1066" s="609"/>
      <c r="DX1066" s="609"/>
      <c r="DY1066" s="609"/>
      <c r="DZ1066" s="609"/>
      <c r="EA1066" s="609"/>
      <c r="EB1066" s="609"/>
      <c r="EC1066" s="609"/>
      <c r="ED1066" s="609"/>
      <c r="EE1066" s="609"/>
      <c r="EF1066" s="609"/>
      <c r="EG1066" s="609"/>
      <c r="EH1066" s="609"/>
      <c r="EI1066" s="609"/>
      <c r="EJ1066" s="609"/>
      <c r="EK1066" s="609"/>
      <c r="EL1066" s="609"/>
      <c r="EM1066" s="609"/>
      <c r="EN1066" s="609"/>
      <c r="EO1066" s="609"/>
      <c r="EP1066" s="609"/>
      <c r="EQ1066" s="609"/>
      <c r="ER1066" s="609"/>
      <c r="ES1066" s="609"/>
      <c r="ET1066" s="609"/>
      <c r="EU1066" s="609"/>
      <c r="EV1066" s="609"/>
      <c r="EW1066" s="609"/>
      <c r="EX1066" s="609"/>
      <c r="EY1066" s="609"/>
      <c r="EZ1066" s="609"/>
      <c r="FA1066" s="609"/>
      <c r="FB1066" s="609"/>
      <c r="FC1066" s="609"/>
      <c r="FD1066" s="609"/>
      <c r="FE1066" s="609"/>
      <c r="FF1066" s="609"/>
      <c r="FG1066" s="609"/>
      <c r="FH1066" s="609"/>
      <c r="FI1066" s="609"/>
      <c r="FJ1066" s="609"/>
      <c r="FK1066" s="609"/>
      <c r="FL1066" s="609"/>
      <c r="FM1066" s="609"/>
      <c r="FN1066" s="609"/>
      <c r="FO1066" s="609"/>
      <c r="FP1066" s="609"/>
      <c r="FQ1066" s="609"/>
      <c r="FR1066" s="609"/>
      <c r="FS1066" s="609"/>
      <c r="FT1066" s="609"/>
      <c r="FU1066" s="609"/>
      <c r="FV1066" s="609"/>
      <c r="FW1066" s="609"/>
      <c r="FX1066" s="609"/>
      <c r="FY1066" s="609"/>
      <c r="FZ1066" s="609"/>
      <c r="GA1066" s="609"/>
      <c r="GB1066" s="609"/>
      <c r="GC1066" s="609"/>
      <c r="GD1066" s="609"/>
      <c r="GE1066" s="609"/>
      <c r="GF1066" s="609"/>
      <c r="GG1066" s="609"/>
      <c r="GH1066" s="609"/>
      <c r="GI1066" s="609"/>
      <c r="GJ1066" s="609"/>
      <c r="GK1066" s="609"/>
      <c r="GL1066" s="609"/>
      <c r="GM1066" s="609"/>
      <c r="GN1066" s="609"/>
      <c r="GO1066" s="609"/>
      <c r="GP1066" s="609"/>
      <c r="GQ1066" s="609"/>
      <c r="GR1066" s="609"/>
      <c r="GS1066" s="609"/>
      <c r="GT1066" s="609"/>
      <c r="GU1066" s="609"/>
      <c r="GV1066" s="609"/>
      <c r="GW1066" s="609"/>
      <c r="GX1066" s="609"/>
      <c r="GY1066" s="609"/>
      <c r="GZ1066" s="609"/>
      <c r="HA1066" s="609"/>
      <c r="HB1066" s="609"/>
      <c r="HC1066" s="609"/>
      <c r="HD1066" s="609"/>
      <c r="HE1066" s="609"/>
      <c r="HF1066" s="609"/>
      <c r="HG1066" s="609"/>
      <c r="HH1066" s="609"/>
      <c r="HI1066" s="609"/>
      <c r="HJ1066" s="609"/>
      <c r="HK1066" s="609"/>
      <c r="HL1066" s="609"/>
      <c r="HM1066" s="609"/>
      <c r="HN1066" s="609"/>
      <c r="HO1066" s="609"/>
      <c r="HP1066" s="609"/>
      <c r="HQ1066" s="609"/>
      <c r="HR1066" s="609"/>
      <c r="HS1066" s="609"/>
      <c r="HT1066" s="609"/>
      <c r="HU1066" s="609"/>
      <c r="HV1066" s="609"/>
      <c r="HW1066" s="609"/>
      <c r="HX1066" s="609"/>
      <c r="HY1066" s="609"/>
      <c r="HZ1066" s="609"/>
      <c r="IA1066" s="609"/>
      <c r="IB1066" s="609"/>
      <c r="IC1066" s="609"/>
      <c r="ID1066" s="609"/>
      <c r="IE1066" s="609"/>
      <c r="IF1066" s="609"/>
      <c r="IG1066" s="609"/>
      <c r="IH1066" s="609"/>
      <c r="II1066" s="609"/>
      <c r="IJ1066" s="609"/>
      <c r="IK1066" s="609"/>
      <c r="IL1066" s="609"/>
      <c r="IM1066" s="609"/>
      <c r="IN1066" s="609"/>
      <c r="IO1066" s="609"/>
      <c r="IP1066" s="609"/>
      <c r="IQ1066" s="609"/>
      <c r="IR1066" s="609"/>
      <c r="IS1066" s="609"/>
      <c r="IT1066" s="609"/>
      <c r="IU1066" s="609"/>
      <c r="IV1066" s="609"/>
    </row>
    <row r="1067" spans="1:256" s="708" customFormat="1" x14ac:dyDescent="0.25">
      <c r="A1067" s="675"/>
      <c r="B1067" s="675"/>
      <c r="C1067" s="675" t="s">
        <v>1772</v>
      </c>
      <c r="D1067" s="620" t="s">
        <v>1773</v>
      </c>
      <c r="E1067" s="675" t="s">
        <v>251</v>
      </c>
      <c r="F1067" s="620"/>
      <c r="G1067" s="622"/>
      <c r="H1067" s="620">
        <v>22</v>
      </c>
      <c r="I1067" s="665">
        <f>ROUND(I1068,2)</f>
        <v>3.3</v>
      </c>
      <c r="J1067" s="665">
        <f>ROUND(J1069,2)</f>
        <v>0.97</v>
      </c>
      <c r="K1067" s="665">
        <f>I1067+J1067</f>
        <v>4.2699999999999996</v>
      </c>
      <c r="L1067" s="622">
        <f>H1067*I1067</f>
        <v>72.599999999999994</v>
      </c>
      <c r="M1067" s="622">
        <f>H1067*J1067</f>
        <v>21.34</v>
      </c>
      <c r="N1067" s="622">
        <f>L1067+M1067</f>
        <v>93.94</v>
      </c>
      <c r="O1067" s="622">
        <f>N1067*$P$4</f>
        <v>23.071664000000002</v>
      </c>
      <c r="P1067" s="622">
        <f>N1067+O1067</f>
        <v>117.011664</v>
      </c>
      <c r="Q1067" s="609"/>
      <c r="R1067" s="609"/>
      <c r="S1067" s="609"/>
      <c r="T1067" s="609"/>
      <c r="U1067" s="609"/>
      <c r="V1067" s="609"/>
      <c r="W1067" s="609"/>
      <c r="X1067" s="609"/>
      <c r="Y1067" s="609"/>
      <c r="Z1067" s="609"/>
      <c r="AA1067" s="609"/>
      <c r="AB1067" s="609"/>
      <c r="AC1067" s="609"/>
      <c r="AD1067" s="609"/>
      <c r="AE1067" s="609"/>
      <c r="AF1067" s="609"/>
      <c r="AG1067" s="609"/>
      <c r="AH1067" s="609"/>
      <c r="AI1067" s="609"/>
      <c r="AJ1067" s="609"/>
      <c r="AK1067" s="609"/>
      <c r="AL1067" s="609"/>
      <c r="AM1067" s="609"/>
      <c r="AN1067" s="609"/>
      <c r="AO1067" s="609"/>
      <c r="AP1067" s="609"/>
      <c r="AQ1067" s="609"/>
      <c r="AR1067" s="609"/>
      <c r="AS1067" s="609"/>
      <c r="AT1067" s="609"/>
      <c r="AU1067" s="609"/>
      <c r="AV1067" s="609"/>
      <c r="AW1067" s="609"/>
      <c r="AX1067" s="609"/>
      <c r="AY1067" s="609"/>
      <c r="AZ1067" s="609"/>
      <c r="BA1067" s="609"/>
      <c r="BB1067" s="609"/>
      <c r="BC1067" s="609"/>
      <c r="BD1067" s="609"/>
      <c r="BE1067" s="609"/>
      <c r="BF1067" s="609"/>
      <c r="BG1067" s="609"/>
      <c r="BH1067" s="609"/>
      <c r="BI1067" s="609"/>
      <c r="BJ1067" s="609"/>
      <c r="BK1067" s="609"/>
      <c r="BL1067" s="609"/>
      <c r="BM1067" s="609"/>
      <c r="BN1067" s="609"/>
      <c r="BO1067" s="609"/>
      <c r="BP1067" s="609"/>
      <c r="BQ1067" s="609"/>
      <c r="BR1067" s="609"/>
      <c r="BS1067" s="609"/>
      <c r="BT1067" s="609"/>
      <c r="BU1067" s="609"/>
      <c r="BV1067" s="609"/>
      <c r="BW1067" s="609"/>
      <c r="BX1067" s="609"/>
      <c r="BY1067" s="609"/>
      <c r="BZ1067" s="609"/>
      <c r="CA1067" s="609"/>
      <c r="CB1067" s="609"/>
      <c r="CC1067" s="609"/>
      <c r="CD1067" s="609"/>
      <c r="CE1067" s="609"/>
      <c r="CF1067" s="609"/>
      <c r="CG1067" s="609"/>
      <c r="CH1067" s="609"/>
      <c r="CI1067" s="609"/>
      <c r="CJ1067" s="609"/>
      <c r="CK1067" s="609"/>
      <c r="CL1067" s="609"/>
      <c r="CM1067" s="609"/>
      <c r="CN1067" s="609"/>
      <c r="CO1067" s="609"/>
      <c r="CP1067" s="609"/>
      <c r="CQ1067" s="609"/>
      <c r="CR1067" s="609"/>
      <c r="CS1067" s="609"/>
      <c r="CT1067" s="609"/>
      <c r="CU1067" s="609"/>
      <c r="CV1067" s="609"/>
      <c r="CW1067" s="609"/>
      <c r="CX1067" s="609"/>
      <c r="CY1067" s="609"/>
      <c r="CZ1067" s="609"/>
      <c r="DA1067" s="609"/>
      <c r="DB1067" s="609"/>
      <c r="DC1067" s="609"/>
      <c r="DD1067" s="609"/>
      <c r="DE1067" s="609"/>
      <c r="DF1067" s="609"/>
      <c r="DG1067" s="609"/>
      <c r="DH1067" s="609"/>
      <c r="DI1067" s="609"/>
      <c r="DJ1067" s="609"/>
      <c r="DK1067" s="609"/>
      <c r="DL1067" s="609"/>
      <c r="DM1067" s="609"/>
      <c r="DN1067" s="609"/>
      <c r="DO1067" s="609"/>
      <c r="DP1067" s="609"/>
      <c r="DQ1067" s="609"/>
      <c r="DR1067" s="609"/>
      <c r="DS1067" s="609"/>
      <c r="DT1067" s="609"/>
      <c r="DU1067" s="609"/>
      <c r="DV1067" s="609"/>
      <c r="DW1067" s="609"/>
      <c r="DX1067" s="609"/>
      <c r="DY1067" s="609"/>
      <c r="DZ1067" s="609"/>
      <c r="EA1067" s="609"/>
      <c r="EB1067" s="609"/>
      <c r="EC1067" s="609"/>
      <c r="ED1067" s="609"/>
      <c r="EE1067" s="609"/>
      <c r="EF1067" s="609"/>
      <c r="EG1067" s="609"/>
      <c r="EH1067" s="609"/>
      <c r="EI1067" s="609"/>
      <c r="EJ1067" s="609"/>
      <c r="EK1067" s="609"/>
      <c r="EL1067" s="609"/>
      <c r="EM1067" s="609"/>
      <c r="EN1067" s="609"/>
      <c r="EO1067" s="609"/>
      <c r="EP1067" s="609"/>
      <c r="EQ1067" s="609"/>
      <c r="ER1067" s="609"/>
      <c r="ES1067" s="609"/>
      <c r="ET1067" s="609"/>
      <c r="EU1067" s="609"/>
      <c r="EV1067" s="609"/>
      <c r="EW1067" s="609"/>
      <c r="EX1067" s="609"/>
      <c r="EY1067" s="609"/>
      <c r="EZ1067" s="609"/>
      <c r="FA1067" s="609"/>
      <c r="FB1067" s="609"/>
      <c r="FC1067" s="609"/>
      <c r="FD1067" s="609"/>
      <c r="FE1067" s="609"/>
      <c r="FF1067" s="609"/>
      <c r="FG1067" s="609"/>
      <c r="FH1067" s="609"/>
      <c r="FI1067" s="609"/>
      <c r="FJ1067" s="609"/>
      <c r="FK1067" s="609"/>
      <c r="FL1067" s="609"/>
      <c r="FM1067" s="609"/>
      <c r="FN1067" s="609"/>
      <c r="FO1067" s="609"/>
      <c r="FP1067" s="609"/>
      <c r="FQ1067" s="609"/>
      <c r="FR1067" s="609"/>
      <c r="FS1067" s="609"/>
      <c r="FT1067" s="609"/>
      <c r="FU1067" s="609"/>
      <c r="FV1067" s="609"/>
      <c r="FW1067" s="609"/>
      <c r="FX1067" s="609"/>
      <c r="FY1067" s="609"/>
      <c r="FZ1067" s="609"/>
      <c r="GA1067" s="609"/>
      <c r="GB1067" s="609"/>
      <c r="GC1067" s="609"/>
      <c r="GD1067" s="609"/>
      <c r="GE1067" s="609"/>
      <c r="GF1067" s="609"/>
      <c r="GG1067" s="609"/>
      <c r="GH1067" s="609"/>
      <c r="GI1067" s="609"/>
      <c r="GJ1067" s="609"/>
      <c r="GK1067" s="609"/>
      <c r="GL1067" s="609"/>
      <c r="GM1067" s="609"/>
      <c r="GN1067" s="609"/>
      <c r="GO1067" s="609"/>
      <c r="GP1067" s="609"/>
      <c r="GQ1067" s="609"/>
      <c r="GR1067" s="609"/>
      <c r="GS1067" s="609"/>
      <c r="GT1067" s="609"/>
      <c r="GU1067" s="609"/>
      <c r="GV1067" s="609"/>
      <c r="GW1067" s="609"/>
      <c r="GX1067" s="609"/>
      <c r="GY1067" s="609"/>
      <c r="GZ1067" s="609"/>
      <c r="HA1067" s="609"/>
      <c r="HB1067" s="609"/>
      <c r="HC1067" s="609"/>
      <c r="HD1067" s="609"/>
      <c r="HE1067" s="609"/>
      <c r="HF1067" s="609"/>
      <c r="HG1067" s="609"/>
      <c r="HH1067" s="609"/>
      <c r="HI1067" s="609"/>
      <c r="HJ1067" s="609"/>
      <c r="HK1067" s="609"/>
      <c r="HL1067" s="609"/>
      <c r="HM1067" s="609"/>
      <c r="HN1067" s="609"/>
      <c r="HO1067" s="609"/>
      <c r="HP1067" s="609"/>
      <c r="HQ1067" s="609"/>
      <c r="HR1067" s="609"/>
      <c r="HS1067" s="609"/>
      <c r="HT1067" s="609"/>
      <c r="HU1067" s="609"/>
      <c r="HV1067" s="609"/>
      <c r="HW1067" s="609"/>
      <c r="HX1067" s="609"/>
      <c r="HY1067" s="609"/>
      <c r="HZ1067" s="609"/>
      <c r="IA1067" s="609"/>
      <c r="IB1067" s="609"/>
      <c r="IC1067" s="609"/>
      <c r="ID1067" s="609"/>
      <c r="IE1067" s="609"/>
      <c r="IF1067" s="609"/>
      <c r="IG1067" s="609"/>
      <c r="IH1067" s="609"/>
      <c r="II1067" s="609"/>
      <c r="IJ1067" s="609"/>
      <c r="IK1067" s="609"/>
      <c r="IL1067" s="609"/>
      <c r="IM1067" s="609"/>
      <c r="IN1067" s="609"/>
      <c r="IO1067" s="609"/>
      <c r="IP1067" s="609"/>
      <c r="IQ1067" s="609"/>
      <c r="IR1067" s="609"/>
      <c r="IS1067" s="609"/>
      <c r="IT1067" s="609"/>
      <c r="IU1067" s="609"/>
      <c r="IV1067" s="609"/>
    </row>
    <row r="1068" spans="1:256" s="708" customFormat="1" x14ac:dyDescent="0.25">
      <c r="A1068" s="636" t="s">
        <v>1705</v>
      </c>
      <c r="B1068" s="724"/>
      <c r="C1068" s="636"/>
      <c r="D1068" s="750" t="s">
        <v>1773</v>
      </c>
      <c r="E1068" s="636"/>
      <c r="F1068" s="612">
        <v>1</v>
      </c>
      <c r="G1068" s="681">
        <v>3.3</v>
      </c>
      <c r="H1068" s="612"/>
      <c r="I1068" s="695">
        <f>ROUND(F1068*G1068,2)</f>
        <v>3.3</v>
      </c>
      <c r="J1068" s="695"/>
      <c r="K1068" s="612"/>
      <c r="L1068" s="612"/>
      <c r="M1068" s="612"/>
      <c r="N1068" s="612"/>
      <c r="O1068" s="612"/>
      <c r="P1068" s="612"/>
      <c r="Q1068" s="609"/>
      <c r="R1068" s="609"/>
      <c r="S1068" s="609"/>
      <c r="T1068" s="609"/>
      <c r="U1068" s="609"/>
      <c r="V1068" s="609"/>
      <c r="W1068" s="609"/>
      <c r="X1068" s="609"/>
      <c r="Y1068" s="609"/>
      <c r="Z1068" s="609"/>
      <c r="AA1068" s="609"/>
      <c r="AB1068" s="609"/>
      <c r="AC1068" s="609"/>
      <c r="AD1068" s="609"/>
      <c r="AE1068" s="609"/>
      <c r="AF1068" s="609"/>
      <c r="AG1068" s="609"/>
      <c r="AH1068" s="609"/>
      <c r="AI1068" s="609"/>
      <c r="AJ1068" s="609"/>
      <c r="AK1068" s="609"/>
      <c r="AL1068" s="609"/>
      <c r="AM1068" s="609"/>
      <c r="AN1068" s="609"/>
      <c r="AO1068" s="609"/>
      <c r="AP1068" s="609"/>
      <c r="AQ1068" s="609"/>
      <c r="AR1068" s="609"/>
      <c r="AS1068" s="609"/>
      <c r="AT1068" s="609"/>
      <c r="AU1068" s="609"/>
      <c r="AV1068" s="609"/>
      <c r="AW1068" s="609"/>
      <c r="AX1068" s="609"/>
      <c r="AY1068" s="609"/>
      <c r="AZ1068" s="609"/>
      <c r="BA1068" s="609"/>
      <c r="BB1068" s="609"/>
      <c r="BC1068" s="609"/>
      <c r="BD1068" s="609"/>
      <c r="BE1068" s="609"/>
      <c r="BF1068" s="609"/>
      <c r="BG1068" s="609"/>
      <c r="BH1068" s="609"/>
      <c r="BI1068" s="609"/>
      <c r="BJ1068" s="609"/>
      <c r="BK1068" s="609"/>
      <c r="BL1068" s="609"/>
      <c r="BM1068" s="609"/>
      <c r="BN1068" s="609"/>
      <c r="BO1068" s="609"/>
      <c r="BP1068" s="609"/>
      <c r="BQ1068" s="609"/>
      <c r="BR1068" s="609"/>
      <c r="BS1068" s="609"/>
      <c r="BT1068" s="609"/>
      <c r="BU1068" s="609"/>
      <c r="BV1068" s="609"/>
      <c r="BW1068" s="609"/>
      <c r="BX1068" s="609"/>
      <c r="BY1068" s="609"/>
      <c r="BZ1068" s="609"/>
      <c r="CA1068" s="609"/>
      <c r="CB1068" s="609"/>
      <c r="CC1068" s="609"/>
      <c r="CD1068" s="609"/>
      <c r="CE1068" s="609"/>
      <c r="CF1068" s="609"/>
      <c r="CG1068" s="609"/>
      <c r="CH1068" s="609"/>
      <c r="CI1068" s="609"/>
      <c r="CJ1068" s="609"/>
      <c r="CK1068" s="609"/>
      <c r="CL1068" s="609"/>
      <c r="CM1068" s="609"/>
      <c r="CN1068" s="609"/>
      <c r="CO1068" s="609"/>
      <c r="CP1068" s="609"/>
      <c r="CQ1068" s="609"/>
      <c r="CR1068" s="609"/>
      <c r="CS1068" s="609"/>
      <c r="CT1068" s="609"/>
      <c r="CU1068" s="609"/>
      <c r="CV1068" s="609"/>
      <c r="CW1068" s="609"/>
      <c r="CX1068" s="609"/>
      <c r="CY1068" s="609"/>
      <c r="CZ1068" s="609"/>
      <c r="DA1068" s="609"/>
      <c r="DB1068" s="609"/>
      <c r="DC1068" s="609"/>
      <c r="DD1068" s="609"/>
      <c r="DE1068" s="609"/>
      <c r="DF1068" s="609"/>
      <c r="DG1068" s="609"/>
      <c r="DH1068" s="609"/>
      <c r="DI1068" s="609"/>
      <c r="DJ1068" s="609"/>
      <c r="DK1068" s="609"/>
      <c r="DL1068" s="609"/>
      <c r="DM1068" s="609"/>
      <c r="DN1068" s="609"/>
      <c r="DO1068" s="609"/>
      <c r="DP1068" s="609"/>
      <c r="DQ1068" s="609"/>
      <c r="DR1068" s="609"/>
      <c r="DS1068" s="609"/>
      <c r="DT1068" s="609"/>
      <c r="DU1068" s="609"/>
      <c r="DV1068" s="609"/>
      <c r="DW1068" s="609"/>
      <c r="DX1068" s="609"/>
      <c r="DY1068" s="609"/>
      <c r="DZ1068" s="609"/>
      <c r="EA1068" s="609"/>
      <c r="EB1068" s="609"/>
      <c r="EC1068" s="609"/>
      <c r="ED1068" s="609"/>
      <c r="EE1068" s="609"/>
      <c r="EF1068" s="609"/>
      <c r="EG1068" s="609"/>
      <c r="EH1068" s="609"/>
      <c r="EI1068" s="609"/>
      <c r="EJ1068" s="609"/>
      <c r="EK1068" s="609"/>
      <c r="EL1068" s="609"/>
      <c r="EM1068" s="609"/>
      <c r="EN1068" s="609"/>
      <c r="EO1068" s="609"/>
      <c r="EP1068" s="609"/>
      <c r="EQ1068" s="609"/>
      <c r="ER1068" s="609"/>
      <c r="ES1068" s="609"/>
      <c r="ET1068" s="609"/>
      <c r="EU1068" s="609"/>
      <c r="EV1068" s="609"/>
      <c r="EW1068" s="609"/>
      <c r="EX1068" s="609"/>
      <c r="EY1068" s="609"/>
      <c r="EZ1068" s="609"/>
      <c r="FA1068" s="609"/>
      <c r="FB1068" s="609"/>
      <c r="FC1068" s="609"/>
      <c r="FD1068" s="609"/>
      <c r="FE1068" s="609"/>
      <c r="FF1068" s="609"/>
      <c r="FG1068" s="609"/>
      <c r="FH1068" s="609"/>
      <c r="FI1068" s="609"/>
      <c r="FJ1068" s="609"/>
      <c r="FK1068" s="609"/>
      <c r="FL1068" s="609"/>
      <c r="FM1068" s="609"/>
      <c r="FN1068" s="609"/>
      <c r="FO1068" s="609"/>
      <c r="FP1068" s="609"/>
      <c r="FQ1068" s="609"/>
      <c r="FR1068" s="609"/>
      <c r="FS1068" s="609"/>
      <c r="FT1068" s="609"/>
      <c r="FU1068" s="609"/>
      <c r="FV1068" s="609"/>
      <c r="FW1068" s="609"/>
      <c r="FX1068" s="609"/>
      <c r="FY1068" s="609"/>
      <c r="FZ1068" s="609"/>
      <c r="GA1068" s="609"/>
      <c r="GB1068" s="609"/>
      <c r="GC1068" s="609"/>
      <c r="GD1068" s="609"/>
      <c r="GE1068" s="609"/>
      <c r="GF1068" s="609"/>
      <c r="GG1068" s="609"/>
      <c r="GH1068" s="609"/>
      <c r="GI1068" s="609"/>
      <c r="GJ1068" s="609"/>
      <c r="GK1068" s="609"/>
      <c r="GL1068" s="609"/>
      <c r="GM1068" s="609"/>
      <c r="GN1068" s="609"/>
      <c r="GO1068" s="609"/>
      <c r="GP1068" s="609"/>
      <c r="GQ1068" s="609"/>
      <c r="GR1068" s="609"/>
      <c r="GS1068" s="609"/>
      <c r="GT1068" s="609"/>
      <c r="GU1068" s="609"/>
      <c r="GV1068" s="609"/>
      <c r="GW1068" s="609"/>
      <c r="GX1068" s="609"/>
      <c r="GY1068" s="609"/>
      <c r="GZ1068" s="609"/>
      <c r="HA1068" s="609"/>
      <c r="HB1068" s="609"/>
      <c r="HC1068" s="609"/>
      <c r="HD1068" s="609"/>
      <c r="HE1068" s="609"/>
      <c r="HF1068" s="609"/>
      <c r="HG1068" s="609"/>
      <c r="HH1068" s="609"/>
      <c r="HI1068" s="609"/>
      <c r="HJ1068" s="609"/>
      <c r="HK1068" s="609"/>
      <c r="HL1068" s="609"/>
      <c r="HM1068" s="609"/>
      <c r="HN1068" s="609"/>
      <c r="HO1068" s="609"/>
      <c r="HP1068" s="609"/>
      <c r="HQ1068" s="609"/>
      <c r="HR1068" s="609"/>
      <c r="HS1068" s="609"/>
      <c r="HT1068" s="609"/>
      <c r="HU1068" s="609"/>
      <c r="HV1068" s="609"/>
      <c r="HW1068" s="609"/>
      <c r="HX1068" s="609"/>
      <c r="HY1068" s="609"/>
      <c r="HZ1068" s="609"/>
      <c r="IA1068" s="609"/>
      <c r="IB1068" s="609"/>
      <c r="IC1068" s="609"/>
      <c r="ID1068" s="609"/>
      <c r="IE1068" s="609"/>
      <c r="IF1068" s="609"/>
      <c r="IG1068" s="609"/>
      <c r="IH1068" s="609"/>
      <c r="II1068" s="609"/>
      <c r="IJ1068" s="609"/>
      <c r="IK1068" s="609"/>
      <c r="IL1068" s="609"/>
      <c r="IM1068" s="609"/>
      <c r="IN1068" s="609"/>
      <c r="IO1068" s="609"/>
      <c r="IP1068" s="609"/>
      <c r="IQ1068" s="609"/>
      <c r="IR1068" s="609"/>
      <c r="IS1068" s="609"/>
      <c r="IT1068" s="609"/>
      <c r="IU1068" s="609"/>
      <c r="IV1068" s="609"/>
    </row>
    <row r="1069" spans="1:256" s="708" customFormat="1" x14ac:dyDescent="0.25">
      <c r="A1069" s="634" t="s">
        <v>277</v>
      </c>
      <c r="B1069" s="634">
        <v>247</v>
      </c>
      <c r="C1069" s="636"/>
      <c r="D1069" s="612" t="s">
        <v>1070</v>
      </c>
      <c r="E1069" s="636" t="s">
        <v>229</v>
      </c>
      <c r="F1069" s="612">
        <v>0.1</v>
      </c>
      <c r="G1069" s="681">
        <v>9.65</v>
      </c>
      <c r="H1069" s="612"/>
      <c r="I1069" s="695"/>
      <c r="J1069" s="695">
        <f>ROUND(F1069*G1069,2)</f>
        <v>0.97</v>
      </c>
      <c r="K1069" s="612"/>
      <c r="L1069" s="612"/>
      <c r="M1069" s="612"/>
      <c r="N1069" s="612"/>
      <c r="O1069" s="612"/>
      <c r="P1069" s="612"/>
      <c r="Q1069" s="609"/>
      <c r="R1069" s="609"/>
      <c r="S1069" s="609"/>
      <c r="T1069" s="609"/>
      <c r="U1069" s="609"/>
      <c r="V1069" s="609"/>
      <c r="W1069" s="609"/>
      <c r="X1069" s="609"/>
      <c r="Y1069" s="609"/>
      <c r="Z1069" s="609"/>
      <c r="AA1069" s="609"/>
      <c r="AB1069" s="609"/>
      <c r="AC1069" s="609"/>
      <c r="AD1069" s="609"/>
      <c r="AE1069" s="609"/>
      <c r="AF1069" s="609"/>
      <c r="AG1069" s="609"/>
      <c r="AH1069" s="609"/>
      <c r="AI1069" s="609"/>
      <c r="AJ1069" s="609"/>
      <c r="AK1069" s="609"/>
      <c r="AL1069" s="609"/>
      <c r="AM1069" s="609"/>
      <c r="AN1069" s="609"/>
      <c r="AO1069" s="609"/>
      <c r="AP1069" s="609"/>
      <c r="AQ1069" s="609"/>
      <c r="AR1069" s="609"/>
      <c r="AS1069" s="609"/>
      <c r="AT1069" s="609"/>
      <c r="AU1069" s="609"/>
      <c r="AV1069" s="609"/>
      <c r="AW1069" s="609"/>
      <c r="AX1069" s="609"/>
      <c r="AY1069" s="609"/>
      <c r="AZ1069" s="609"/>
      <c r="BA1069" s="609"/>
      <c r="BB1069" s="609"/>
      <c r="BC1069" s="609"/>
      <c r="BD1069" s="609"/>
      <c r="BE1069" s="609"/>
      <c r="BF1069" s="609"/>
      <c r="BG1069" s="609"/>
      <c r="BH1069" s="609"/>
      <c r="BI1069" s="609"/>
      <c r="BJ1069" s="609"/>
      <c r="BK1069" s="609"/>
      <c r="BL1069" s="609"/>
      <c r="BM1069" s="609"/>
      <c r="BN1069" s="609"/>
      <c r="BO1069" s="609"/>
      <c r="BP1069" s="609"/>
      <c r="BQ1069" s="609"/>
      <c r="BR1069" s="609"/>
      <c r="BS1069" s="609"/>
      <c r="BT1069" s="609"/>
      <c r="BU1069" s="609"/>
      <c r="BV1069" s="609"/>
      <c r="BW1069" s="609"/>
      <c r="BX1069" s="609"/>
      <c r="BY1069" s="609"/>
      <c r="BZ1069" s="609"/>
      <c r="CA1069" s="609"/>
      <c r="CB1069" s="609"/>
      <c r="CC1069" s="609"/>
      <c r="CD1069" s="609"/>
      <c r="CE1069" s="609"/>
      <c r="CF1069" s="609"/>
      <c r="CG1069" s="609"/>
      <c r="CH1069" s="609"/>
      <c r="CI1069" s="609"/>
      <c r="CJ1069" s="609"/>
      <c r="CK1069" s="609"/>
      <c r="CL1069" s="609"/>
      <c r="CM1069" s="609"/>
      <c r="CN1069" s="609"/>
      <c r="CO1069" s="609"/>
      <c r="CP1069" s="609"/>
      <c r="CQ1069" s="609"/>
      <c r="CR1069" s="609"/>
      <c r="CS1069" s="609"/>
      <c r="CT1069" s="609"/>
      <c r="CU1069" s="609"/>
      <c r="CV1069" s="609"/>
      <c r="CW1069" s="609"/>
      <c r="CX1069" s="609"/>
      <c r="CY1069" s="609"/>
      <c r="CZ1069" s="609"/>
      <c r="DA1069" s="609"/>
      <c r="DB1069" s="609"/>
      <c r="DC1069" s="609"/>
      <c r="DD1069" s="609"/>
      <c r="DE1069" s="609"/>
      <c r="DF1069" s="609"/>
      <c r="DG1069" s="609"/>
      <c r="DH1069" s="609"/>
      <c r="DI1069" s="609"/>
      <c r="DJ1069" s="609"/>
      <c r="DK1069" s="609"/>
      <c r="DL1069" s="609"/>
      <c r="DM1069" s="609"/>
      <c r="DN1069" s="609"/>
      <c r="DO1069" s="609"/>
      <c r="DP1069" s="609"/>
      <c r="DQ1069" s="609"/>
      <c r="DR1069" s="609"/>
      <c r="DS1069" s="609"/>
      <c r="DT1069" s="609"/>
      <c r="DU1069" s="609"/>
      <c r="DV1069" s="609"/>
      <c r="DW1069" s="609"/>
      <c r="DX1069" s="609"/>
      <c r="DY1069" s="609"/>
      <c r="DZ1069" s="609"/>
      <c r="EA1069" s="609"/>
      <c r="EB1069" s="609"/>
      <c r="EC1069" s="609"/>
      <c r="ED1069" s="609"/>
      <c r="EE1069" s="609"/>
      <c r="EF1069" s="609"/>
      <c r="EG1069" s="609"/>
      <c r="EH1069" s="609"/>
      <c r="EI1069" s="609"/>
      <c r="EJ1069" s="609"/>
      <c r="EK1069" s="609"/>
      <c r="EL1069" s="609"/>
      <c r="EM1069" s="609"/>
      <c r="EN1069" s="609"/>
      <c r="EO1069" s="609"/>
      <c r="EP1069" s="609"/>
      <c r="EQ1069" s="609"/>
      <c r="ER1069" s="609"/>
      <c r="ES1069" s="609"/>
      <c r="ET1069" s="609"/>
      <c r="EU1069" s="609"/>
      <c r="EV1069" s="609"/>
      <c r="EW1069" s="609"/>
      <c r="EX1069" s="609"/>
      <c r="EY1069" s="609"/>
      <c r="EZ1069" s="609"/>
      <c r="FA1069" s="609"/>
      <c r="FB1069" s="609"/>
      <c r="FC1069" s="609"/>
      <c r="FD1069" s="609"/>
      <c r="FE1069" s="609"/>
      <c r="FF1069" s="609"/>
      <c r="FG1069" s="609"/>
      <c r="FH1069" s="609"/>
      <c r="FI1069" s="609"/>
      <c r="FJ1069" s="609"/>
      <c r="FK1069" s="609"/>
      <c r="FL1069" s="609"/>
      <c r="FM1069" s="609"/>
      <c r="FN1069" s="609"/>
      <c r="FO1069" s="609"/>
      <c r="FP1069" s="609"/>
      <c r="FQ1069" s="609"/>
      <c r="FR1069" s="609"/>
      <c r="FS1069" s="609"/>
      <c r="FT1069" s="609"/>
      <c r="FU1069" s="609"/>
      <c r="FV1069" s="609"/>
      <c r="FW1069" s="609"/>
      <c r="FX1069" s="609"/>
      <c r="FY1069" s="609"/>
      <c r="FZ1069" s="609"/>
      <c r="GA1069" s="609"/>
      <c r="GB1069" s="609"/>
      <c r="GC1069" s="609"/>
      <c r="GD1069" s="609"/>
      <c r="GE1069" s="609"/>
      <c r="GF1069" s="609"/>
      <c r="GG1069" s="609"/>
      <c r="GH1069" s="609"/>
      <c r="GI1069" s="609"/>
      <c r="GJ1069" s="609"/>
      <c r="GK1069" s="609"/>
      <c r="GL1069" s="609"/>
      <c r="GM1069" s="609"/>
      <c r="GN1069" s="609"/>
      <c r="GO1069" s="609"/>
      <c r="GP1069" s="609"/>
      <c r="GQ1069" s="609"/>
      <c r="GR1069" s="609"/>
      <c r="GS1069" s="609"/>
      <c r="GT1069" s="609"/>
      <c r="GU1069" s="609"/>
      <c r="GV1069" s="609"/>
      <c r="GW1069" s="609"/>
      <c r="GX1069" s="609"/>
      <c r="GY1069" s="609"/>
      <c r="GZ1069" s="609"/>
      <c r="HA1069" s="609"/>
      <c r="HB1069" s="609"/>
      <c r="HC1069" s="609"/>
      <c r="HD1069" s="609"/>
      <c r="HE1069" s="609"/>
      <c r="HF1069" s="609"/>
      <c r="HG1069" s="609"/>
      <c r="HH1069" s="609"/>
      <c r="HI1069" s="609"/>
      <c r="HJ1069" s="609"/>
      <c r="HK1069" s="609"/>
      <c r="HL1069" s="609"/>
      <c r="HM1069" s="609"/>
      <c r="HN1069" s="609"/>
      <c r="HO1069" s="609"/>
      <c r="HP1069" s="609"/>
      <c r="HQ1069" s="609"/>
      <c r="HR1069" s="609"/>
      <c r="HS1069" s="609"/>
      <c r="HT1069" s="609"/>
      <c r="HU1069" s="609"/>
      <c r="HV1069" s="609"/>
      <c r="HW1069" s="609"/>
      <c r="HX1069" s="609"/>
      <c r="HY1069" s="609"/>
      <c r="HZ1069" s="609"/>
      <c r="IA1069" s="609"/>
      <c r="IB1069" s="609"/>
      <c r="IC1069" s="609"/>
      <c r="ID1069" s="609"/>
      <c r="IE1069" s="609"/>
      <c r="IF1069" s="609"/>
      <c r="IG1069" s="609"/>
      <c r="IH1069" s="609"/>
      <c r="II1069" s="609"/>
      <c r="IJ1069" s="609"/>
      <c r="IK1069" s="609"/>
      <c r="IL1069" s="609"/>
      <c r="IM1069" s="609"/>
      <c r="IN1069" s="609"/>
      <c r="IO1069" s="609"/>
      <c r="IP1069" s="609"/>
      <c r="IQ1069" s="609"/>
      <c r="IR1069" s="609"/>
      <c r="IS1069" s="609"/>
      <c r="IT1069" s="609"/>
      <c r="IU1069" s="609"/>
      <c r="IV1069" s="609"/>
    </row>
    <row r="1070" spans="1:256" s="708" customFormat="1" x14ac:dyDescent="0.25">
      <c r="A1070" s="631"/>
      <c r="B1070" s="631">
        <v>72337</v>
      </c>
      <c r="C1070" s="663" t="s">
        <v>1774</v>
      </c>
      <c r="D1070" s="751" t="s">
        <v>1775</v>
      </c>
      <c r="E1070" s="752" t="s">
        <v>248</v>
      </c>
      <c r="F1070" s="753"/>
      <c r="G1070" s="664"/>
      <c r="H1070" s="754">
        <v>2</v>
      </c>
      <c r="I1070" s="677">
        <f>SUM(I1071:I1072)</f>
        <v>10.67</v>
      </c>
      <c r="J1070" s="677">
        <f>SUM(J1071:J1072)</f>
        <v>3.14</v>
      </c>
      <c r="K1070" s="677">
        <f>I1070+J1070</f>
        <v>13.81</v>
      </c>
      <c r="L1070" s="622">
        <f>H1070*I1070</f>
        <v>21.34</v>
      </c>
      <c r="M1070" s="622">
        <f>H1070*J1070</f>
        <v>6.28</v>
      </c>
      <c r="N1070" s="622">
        <f>L1070+M1070</f>
        <v>27.62</v>
      </c>
      <c r="O1070" s="622">
        <f>N1070*$P$4</f>
        <v>6.7834720000000006</v>
      </c>
      <c r="P1070" s="622">
        <f>N1070+O1070</f>
        <v>34.403472000000001</v>
      </c>
      <c r="Q1070" s="609"/>
      <c r="R1070" s="609"/>
      <c r="S1070" s="609"/>
      <c r="T1070" s="609"/>
      <c r="U1070" s="609"/>
      <c r="V1070" s="609"/>
      <c r="W1070" s="609"/>
      <c r="X1070" s="609"/>
      <c r="Y1070" s="609"/>
      <c r="Z1070" s="609"/>
      <c r="AA1070" s="609"/>
      <c r="AB1070" s="609"/>
      <c r="AC1070" s="609"/>
      <c r="AD1070" s="609"/>
      <c r="AE1070" s="609"/>
      <c r="AF1070" s="609"/>
      <c r="AG1070" s="609"/>
      <c r="AH1070" s="609"/>
      <c r="AI1070" s="609"/>
      <c r="AJ1070" s="609"/>
      <c r="AK1070" s="609"/>
      <c r="AL1070" s="609"/>
      <c r="AM1070" s="609"/>
      <c r="AN1070" s="609"/>
      <c r="AO1070" s="609"/>
      <c r="AP1070" s="609"/>
      <c r="AQ1070" s="609"/>
      <c r="AR1070" s="609"/>
      <c r="AS1070" s="609"/>
      <c r="AT1070" s="609"/>
      <c r="AU1070" s="609"/>
      <c r="AV1070" s="609"/>
      <c r="AW1070" s="609"/>
      <c r="AX1070" s="609"/>
      <c r="AY1070" s="609"/>
      <c r="AZ1070" s="609"/>
      <c r="BA1070" s="609"/>
      <c r="BB1070" s="609"/>
      <c r="BC1070" s="609"/>
      <c r="BD1070" s="609"/>
      <c r="BE1070" s="609"/>
      <c r="BF1070" s="609"/>
      <c r="BG1070" s="609"/>
      <c r="BH1070" s="609"/>
      <c r="BI1070" s="609"/>
      <c r="BJ1070" s="609"/>
      <c r="BK1070" s="609"/>
      <c r="BL1070" s="609"/>
      <c r="BM1070" s="609"/>
      <c r="BN1070" s="609"/>
      <c r="BO1070" s="609"/>
      <c r="BP1070" s="609"/>
      <c r="BQ1070" s="609"/>
      <c r="BR1070" s="609"/>
      <c r="BS1070" s="609"/>
      <c r="BT1070" s="609"/>
      <c r="BU1070" s="609"/>
      <c r="BV1070" s="609"/>
      <c r="BW1070" s="609"/>
      <c r="BX1070" s="609"/>
      <c r="BY1070" s="609"/>
      <c r="BZ1070" s="609"/>
      <c r="CA1070" s="609"/>
      <c r="CB1070" s="609"/>
      <c r="CC1070" s="609"/>
      <c r="CD1070" s="609"/>
      <c r="CE1070" s="609"/>
      <c r="CF1070" s="609"/>
      <c r="CG1070" s="609"/>
      <c r="CH1070" s="609"/>
      <c r="CI1070" s="609"/>
      <c r="CJ1070" s="609"/>
      <c r="CK1070" s="609"/>
      <c r="CL1070" s="609"/>
      <c r="CM1070" s="609"/>
      <c r="CN1070" s="609"/>
      <c r="CO1070" s="609"/>
      <c r="CP1070" s="609"/>
      <c r="CQ1070" s="609"/>
      <c r="CR1070" s="609"/>
      <c r="CS1070" s="609"/>
      <c r="CT1070" s="609"/>
      <c r="CU1070" s="609"/>
      <c r="CV1070" s="609"/>
      <c r="CW1070" s="609"/>
      <c r="CX1070" s="609"/>
      <c r="CY1070" s="609"/>
      <c r="CZ1070" s="609"/>
      <c r="DA1070" s="609"/>
      <c r="DB1070" s="609"/>
      <c r="DC1070" s="609"/>
      <c r="DD1070" s="609"/>
      <c r="DE1070" s="609"/>
      <c r="DF1070" s="609"/>
      <c r="DG1070" s="609"/>
      <c r="DH1070" s="609"/>
      <c r="DI1070" s="609"/>
      <c r="DJ1070" s="609"/>
      <c r="DK1070" s="609"/>
      <c r="DL1070" s="609"/>
      <c r="DM1070" s="609"/>
      <c r="DN1070" s="609"/>
      <c r="DO1070" s="609"/>
      <c r="DP1070" s="609"/>
      <c r="DQ1070" s="609"/>
      <c r="DR1070" s="609"/>
      <c r="DS1070" s="609"/>
      <c r="DT1070" s="609"/>
      <c r="DU1070" s="609"/>
      <c r="DV1070" s="609"/>
      <c r="DW1070" s="609"/>
      <c r="DX1070" s="609"/>
      <c r="DY1070" s="609"/>
      <c r="DZ1070" s="609"/>
      <c r="EA1070" s="609"/>
      <c r="EB1070" s="609"/>
      <c r="EC1070" s="609"/>
      <c r="ED1070" s="609"/>
      <c r="EE1070" s="609"/>
      <c r="EF1070" s="609"/>
      <c r="EG1070" s="609"/>
      <c r="EH1070" s="609"/>
      <c r="EI1070" s="609"/>
      <c r="EJ1070" s="609"/>
      <c r="EK1070" s="609"/>
      <c r="EL1070" s="609"/>
      <c r="EM1070" s="609"/>
      <c r="EN1070" s="609"/>
      <c r="EO1070" s="609"/>
      <c r="EP1070" s="609"/>
      <c r="EQ1070" s="609"/>
      <c r="ER1070" s="609"/>
      <c r="ES1070" s="609"/>
      <c r="ET1070" s="609"/>
      <c r="EU1070" s="609"/>
      <c r="EV1070" s="609"/>
      <c r="EW1070" s="609"/>
      <c r="EX1070" s="609"/>
      <c r="EY1070" s="609"/>
      <c r="EZ1070" s="609"/>
      <c r="FA1070" s="609"/>
      <c r="FB1070" s="609"/>
      <c r="FC1070" s="609"/>
      <c r="FD1070" s="609"/>
      <c r="FE1070" s="609"/>
      <c r="FF1070" s="609"/>
      <c r="FG1070" s="609"/>
      <c r="FH1070" s="609"/>
      <c r="FI1070" s="609"/>
      <c r="FJ1070" s="609"/>
      <c r="FK1070" s="609"/>
      <c r="FL1070" s="609"/>
      <c r="FM1070" s="609"/>
      <c r="FN1070" s="609"/>
      <c r="FO1070" s="609"/>
      <c r="FP1070" s="609"/>
      <c r="FQ1070" s="609"/>
      <c r="FR1070" s="609"/>
      <c r="FS1070" s="609"/>
      <c r="FT1070" s="609"/>
      <c r="FU1070" s="609"/>
      <c r="FV1070" s="609"/>
      <c r="FW1070" s="609"/>
      <c r="FX1070" s="609"/>
      <c r="FY1070" s="609"/>
      <c r="FZ1070" s="609"/>
      <c r="GA1070" s="609"/>
      <c r="GB1070" s="609"/>
      <c r="GC1070" s="609"/>
      <c r="GD1070" s="609"/>
      <c r="GE1070" s="609"/>
      <c r="GF1070" s="609"/>
      <c r="GG1070" s="609"/>
      <c r="GH1070" s="609"/>
      <c r="GI1070" s="609"/>
      <c r="GJ1070" s="609"/>
      <c r="GK1070" s="609"/>
      <c r="GL1070" s="609"/>
      <c r="GM1070" s="609"/>
      <c r="GN1070" s="609"/>
      <c r="GO1070" s="609"/>
      <c r="GP1070" s="609"/>
      <c r="GQ1070" s="609"/>
      <c r="GR1070" s="609"/>
      <c r="GS1070" s="609"/>
      <c r="GT1070" s="609"/>
      <c r="GU1070" s="609"/>
      <c r="GV1070" s="609"/>
      <c r="GW1070" s="609"/>
      <c r="GX1070" s="609"/>
      <c r="GY1070" s="609"/>
      <c r="GZ1070" s="609"/>
      <c r="HA1070" s="609"/>
      <c r="HB1070" s="609"/>
      <c r="HC1070" s="609"/>
      <c r="HD1070" s="609"/>
      <c r="HE1070" s="609"/>
      <c r="HF1070" s="609"/>
      <c r="HG1070" s="609"/>
      <c r="HH1070" s="609"/>
      <c r="HI1070" s="609"/>
      <c r="HJ1070" s="609"/>
      <c r="HK1070" s="609"/>
      <c r="HL1070" s="609"/>
      <c r="HM1070" s="609"/>
      <c r="HN1070" s="609"/>
      <c r="HO1070" s="609"/>
      <c r="HP1070" s="609"/>
      <c r="HQ1070" s="609"/>
      <c r="HR1070" s="609"/>
      <c r="HS1070" s="609"/>
      <c r="HT1070" s="609"/>
      <c r="HU1070" s="609"/>
      <c r="HV1070" s="609"/>
      <c r="HW1070" s="609"/>
      <c r="HX1070" s="609"/>
      <c r="HY1070" s="609"/>
      <c r="HZ1070" s="609"/>
      <c r="IA1070" s="609"/>
      <c r="IB1070" s="609"/>
      <c r="IC1070" s="609"/>
      <c r="ID1070" s="609"/>
      <c r="IE1070" s="609"/>
      <c r="IF1070" s="609"/>
      <c r="IG1070" s="609"/>
      <c r="IH1070" s="609"/>
      <c r="II1070" s="609"/>
      <c r="IJ1070" s="609"/>
      <c r="IK1070" s="609"/>
      <c r="IL1070" s="609"/>
      <c r="IM1070" s="609"/>
      <c r="IN1070" s="609"/>
      <c r="IO1070" s="609"/>
      <c r="IP1070" s="609"/>
      <c r="IQ1070" s="609"/>
      <c r="IR1070" s="609"/>
      <c r="IS1070" s="609"/>
      <c r="IT1070" s="609"/>
      <c r="IU1070" s="609"/>
      <c r="IV1070" s="609"/>
    </row>
    <row r="1071" spans="1:256" s="708" customFormat="1" x14ac:dyDescent="0.25">
      <c r="A1071" s="634" t="s">
        <v>277</v>
      </c>
      <c r="B1071" s="634">
        <v>7526</v>
      </c>
      <c r="C1071" s="634"/>
      <c r="D1071" s="635" t="s">
        <v>1775</v>
      </c>
      <c r="E1071" s="634" t="s">
        <v>251</v>
      </c>
      <c r="F1071" s="635">
        <v>1</v>
      </c>
      <c r="G1071" s="681">
        <v>10.67</v>
      </c>
      <c r="H1071" s="635"/>
      <c r="I1071" s="691">
        <f>ROUND(F1071*G1071,2)</f>
        <v>10.67</v>
      </c>
      <c r="J1071" s="691"/>
      <c r="K1071" s="691"/>
      <c r="L1071" s="691" t="s">
        <v>1207</v>
      </c>
      <c r="M1071" s="691"/>
      <c r="N1071" s="691"/>
      <c r="O1071" s="691"/>
      <c r="P1071" s="691"/>
      <c r="Q1071" s="755"/>
      <c r="R1071" s="755"/>
      <c r="S1071" s="755"/>
      <c r="T1071" s="755"/>
      <c r="U1071" s="755"/>
      <c r="V1071" s="755"/>
      <c r="W1071" s="755"/>
      <c r="X1071" s="755"/>
      <c r="Y1071" s="755"/>
      <c r="Z1071" s="755"/>
      <c r="AA1071" s="755"/>
      <c r="AB1071" s="755"/>
      <c r="AC1071" s="755"/>
      <c r="AD1071" s="755"/>
      <c r="AE1071" s="755"/>
      <c r="AF1071" s="755"/>
      <c r="AG1071" s="755"/>
      <c r="AH1071" s="755"/>
      <c r="AI1071" s="755"/>
      <c r="AJ1071" s="755"/>
      <c r="AK1071" s="755"/>
      <c r="AL1071" s="755"/>
      <c r="AM1071" s="755"/>
      <c r="AN1071" s="755"/>
      <c r="AO1071" s="755"/>
      <c r="AP1071" s="755"/>
      <c r="AQ1071" s="755"/>
      <c r="AR1071" s="755"/>
      <c r="AS1071" s="755"/>
      <c r="AT1071" s="755"/>
      <c r="AU1071" s="755"/>
      <c r="AV1071" s="755"/>
      <c r="AW1071" s="755"/>
      <c r="AX1071" s="755"/>
      <c r="AY1071" s="755"/>
      <c r="AZ1071" s="755"/>
      <c r="BA1071" s="755"/>
      <c r="BB1071" s="755"/>
      <c r="BC1071" s="755"/>
      <c r="BD1071" s="755"/>
      <c r="BE1071" s="755"/>
      <c r="BF1071" s="755"/>
      <c r="BG1071" s="755"/>
      <c r="BH1071" s="755"/>
      <c r="BI1071" s="755"/>
      <c r="BJ1071" s="755"/>
      <c r="BK1071" s="755"/>
      <c r="BL1071" s="755"/>
      <c r="BM1071" s="755"/>
      <c r="BN1071" s="755"/>
      <c r="BO1071" s="755"/>
      <c r="BP1071" s="755"/>
      <c r="BQ1071" s="755"/>
      <c r="BR1071" s="755"/>
      <c r="BS1071" s="755"/>
      <c r="BT1071" s="755"/>
      <c r="BU1071" s="755"/>
      <c r="BV1071" s="755"/>
      <c r="BW1071" s="755"/>
      <c r="BX1071" s="755"/>
      <c r="BY1071" s="755"/>
      <c r="BZ1071" s="755"/>
      <c r="CA1071" s="755"/>
      <c r="CB1071" s="755"/>
      <c r="CC1071" s="755"/>
      <c r="CD1071" s="755"/>
      <c r="CE1071" s="755"/>
      <c r="CF1071" s="755"/>
      <c r="CG1071" s="755"/>
      <c r="CH1071" s="755"/>
      <c r="CI1071" s="755"/>
      <c r="CJ1071" s="755"/>
      <c r="CK1071" s="755"/>
      <c r="CL1071" s="755"/>
      <c r="CM1071" s="755"/>
      <c r="CN1071" s="755"/>
      <c r="CO1071" s="755"/>
      <c r="CP1071" s="755"/>
      <c r="CQ1071" s="755"/>
      <c r="CR1071" s="755"/>
      <c r="CS1071" s="755"/>
      <c r="CT1071" s="755"/>
      <c r="CU1071" s="755"/>
      <c r="CV1071" s="755"/>
      <c r="CW1071" s="755"/>
      <c r="CX1071" s="755"/>
      <c r="CY1071" s="755"/>
      <c r="CZ1071" s="755"/>
      <c r="DA1071" s="755"/>
      <c r="DB1071" s="755"/>
      <c r="DC1071" s="755"/>
      <c r="DD1071" s="755"/>
      <c r="DE1071" s="755"/>
      <c r="DF1071" s="755"/>
      <c r="DG1071" s="755"/>
      <c r="DH1071" s="755"/>
      <c r="DI1071" s="755"/>
      <c r="DJ1071" s="755"/>
      <c r="DK1071" s="755"/>
      <c r="DL1071" s="755"/>
      <c r="DM1071" s="755"/>
      <c r="DN1071" s="755"/>
      <c r="DO1071" s="755"/>
      <c r="DP1071" s="755"/>
      <c r="DQ1071" s="755"/>
      <c r="DR1071" s="755"/>
      <c r="DS1071" s="755"/>
      <c r="DT1071" s="755"/>
      <c r="DU1071" s="755"/>
      <c r="DV1071" s="755"/>
      <c r="DW1071" s="755"/>
      <c r="DX1071" s="755"/>
      <c r="DY1071" s="755"/>
      <c r="DZ1071" s="755"/>
      <c r="EA1071" s="755"/>
      <c r="EB1071" s="755"/>
      <c r="EC1071" s="755"/>
      <c r="ED1071" s="755"/>
      <c r="EE1071" s="755"/>
      <c r="EF1071" s="755"/>
      <c r="EG1071" s="755"/>
      <c r="EH1071" s="755"/>
      <c r="EI1071" s="755"/>
      <c r="EJ1071" s="755"/>
      <c r="EK1071" s="755"/>
      <c r="EL1071" s="755"/>
      <c r="EM1071" s="755"/>
      <c r="EN1071" s="755"/>
      <c r="EO1071" s="755"/>
      <c r="EP1071" s="755"/>
      <c r="EQ1071" s="755"/>
      <c r="ER1071" s="755"/>
      <c r="ES1071" s="755"/>
      <c r="ET1071" s="755"/>
      <c r="EU1071" s="755"/>
      <c r="EV1071" s="755"/>
      <c r="EW1071" s="755"/>
      <c r="EX1071" s="755"/>
      <c r="EY1071" s="755"/>
      <c r="EZ1071" s="755"/>
      <c r="FA1071" s="755"/>
      <c r="FB1071" s="755"/>
      <c r="FC1071" s="755"/>
      <c r="FD1071" s="755"/>
      <c r="FE1071" s="755"/>
      <c r="FF1071" s="755"/>
      <c r="FG1071" s="755"/>
      <c r="FH1071" s="755"/>
      <c r="FI1071" s="755"/>
      <c r="FJ1071" s="755"/>
      <c r="FK1071" s="755"/>
      <c r="FL1071" s="755"/>
      <c r="FM1071" s="755"/>
      <c r="FN1071" s="755"/>
      <c r="FO1071" s="755"/>
      <c r="FP1071" s="755"/>
      <c r="FQ1071" s="755"/>
      <c r="FR1071" s="755"/>
      <c r="FS1071" s="755"/>
      <c r="FT1071" s="755"/>
      <c r="FU1071" s="755"/>
      <c r="FV1071" s="755"/>
      <c r="FW1071" s="755"/>
      <c r="FX1071" s="755"/>
      <c r="FY1071" s="755"/>
      <c r="FZ1071" s="755"/>
      <c r="GA1071" s="755"/>
      <c r="GB1071" s="755"/>
      <c r="GC1071" s="755"/>
      <c r="GD1071" s="755"/>
      <c r="GE1071" s="755"/>
      <c r="GF1071" s="755"/>
      <c r="GG1071" s="755"/>
      <c r="GH1071" s="755"/>
      <c r="GI1071" s="755"/>
      <c r="GJ1071" s="755"/>
      <c r="GK1071" s="755"/>
      <c r="GL1071" s="755"/>
      <c r="GM1071" s="755"/>
      <c r="GN1071" s="755"/>
      <c r="GO1071" s="755"/>
      <c r="GP1071" s="755"/>
      <c r="GQ1071" s="755"/>
      <c r="GR1071" s="755"/>
      <c r="GS1071" s="755"/>
      <c r="GT1071" s="755"/>
      <c r="GU1071" s="755"/>
      <c r="GV1071" s="755"/>
      <c r="GW1071" s="755"/>
      <c r="GX1071" s="755"/>
      <c r="GY1071" s="755"/>
      <c r="GZ1071" s="755"/>
      <c r="HA1071" s="755"/>
      <c r="HB1071" s="755"/>
      <c r="HC1071" s="755"/>
      <c r="HD1071" s="755"/>
      <c r="HE1071" s="755"/>
      <c r="HF1071" s="755"/>
      <c r="HG1071" s="755"/>
      <c r="HH1071" s="755"/>
      <c r="HI1071" s="755"/>
      <c r="HJ1071" s="755"/>
      <c r="HK1071" s="755"/>
      <c r="HL1071" s="755"/>
      <c r="HM1071" s="755"/>
      <c r="HN1071" s="755"/>
      <c r="HO1071" s="755"/>
      <c r="HP1071" s="755"/>
      <c r="HQ1071" s="755"/>
      <c r="HR1071" s="755"/>
      <c r="HS1071" s="755"/>
      <c r="HT1071" s="755"/>
      <c r="HU1071" s="755"/>
      <c r="HV1071" s="755"/>
      <c r="HW1071" s="755"/>
      <c r="HX1071" s="755"/>
      <c r="HY1071" s="755"/>
      <c r="HZ1071" s="755"/>
      <c r="IA1071" s="755"/>
      <c r="IB1071" s="755"/>
      <c r="IC1071" s="755"/>
      <c r="ID1071" s="755"/>
      <c r="IE1071" s="755"/>
      <c r="IF1071" s="755"/>
      <c r="IG1071" s="755"/>
      <c r="IH1071" s="755"/>
      <c r="II1071" s="755"/>
      <c r="IJ1071" s="755"/>
      <c r="IK1071" s="755"/>
      <c r="IL1071" s="755"/>
      <c r="IM1071" s="755"/>
      <c r="IN1071" s="755"/>
      <c r="IO1071" s="755"/>
      <c r="IP1071" s="755"/>
      <c r="IQ1071" s="755"/>
      <c r="IR1071" s="755"/>
      <c r="IS1071" s="755"/>
      <c r="IT1071" s="755"/>
      <c r="IU1071" s="755"/>
      <c r="IV1071" s="755"/>
    </row>
    <row r="1072" spans="1:256" s="708" customFormat="1" x14ac:dyDescent="0.25">
      <c r="A1072" s="634" t="s">
        <v>277</v>
      </c>
      <c r="B1072" s="634">
        <v>2436</v>
      </c>
      <c r="C1072" s="634"/>
      <c r="D1072" s="635" t="s">
        <v>1069</v>
      </c>
      <c r="E1072" s="634" t="s">
        <v>229</v>
      </c>
      <c r="F1072" s="756">
        <v>0.25</v>
      </c>
      <c r="G1072" s="681">
        <v>12.57</v>
      </c>
      <c r="H1072" s="635"/>
      <c r="I1072" s="691"/>
      <c r="J1072" s="691">
        <f>ROUND(F1072*G1072,2)</f>
        <v>3.14</v>
      </c>
      <c r="K1072" s="691"/>
      <c r="L1072" s="691"/>
      <c r="M1072" s="691"/>
      <c r="N1072" s="691"/>
      <c r="O1072" s="691"/>
      <c r="P1072" s="691"/>
      <c r="Q1072" s="609"/>
      <c r="R1072" s="609"/>
      <c r="S1072" s="609"/>
      <c r="T1072" s="609"/>
      <c r="U1072" s="609"/>
      <c r="V1072" s="609"/>
      <c r="W1072" s="609"/>
      <c r="X1072" s="609"/>
      <c r="Y1072" s="609"/>
      <c r="Z1072" s="609"/>
      <c r="AA1072" s="609"/>
      <c r="AB1072" s="609"/>
      <c r="AC1072" s="609"/>
      <c r="AD1072" s="609"/>
      <c r="AE1072" s="609"/>
      <c r="AF1072" s="609"/>
      <c r="AG1072" s="609"/>
      <c r="AH1072" s="609"/>
      <c r="AI1072" s="609"/>
      <c r="AJ1072" s="609"/>
      <c r="AK1072" s="609"/>
      <c r="AL1072" s="609"/>
      <c r="AM1072" s="609"/>
      <c r="AN1072" s="609"/>
      <c r="AO1072" s="609"/>
      <c r="AP1072" s="609"/>
      <c r="AQ1072" s="609"/>
      <c r="AR1072" s="609"/>
      <c r="AS1072" s="609"/>
      <c r="AT1072" s="609"/>
      <c r="AU1072" s="609"/>
      <c r="AV1072" s="609"/>
      <c r="AW1072" s="609"/>
      <c r="AX1072" s="609"/>
      <c r="AY1072" s="609"/>
      <c r="AZ1072" s="609"/>
      <c r="BA1072" s="609"/>
      <c r="BB1072" s="609"/>
      <c r="BC1072" s="609"/>
      <c r="BD1072" s="609"/>
      <c r="BE1072" s="609"/>
      <c r="BF1072" s="609"/>
      <c r="BG1072" s="609"/>
      <c r="BH1072" s="609"/>
      <c r="BI1072" s="609"/>
      <c r="BJ1072" s="609"/>
      <c r="BK1072" s="609"/>
      <c r="BL1072" s="609"/>
      <c r="BM1072" s="609"/>
      <c r="BN1072" s="609"/>
      <c r="BO1072" s="609"/>
      <c r="BP1072" s="609"/>
      <c r="BQ1072" s="609"/>
      <c r="BR1072" s="609"/>
      <c r="BS1072" s="609"/>
      <c r="BT1072" s="609"/>
      <c r="BU1072" s="609"/>
      <c r="BV1072" s="609"/>
      <c r="BW1072" s="609"/>
      <c r="BX1072" s="609"/>
      <c r="BY1072" s="609"/>
      <c r="BZ1072" s="609"/>
      <c r="CA1072" s="609"/>
      <c r="CB1072" s="609"/>
      <c r="CC1072" s="609"/>
      <c r="CD1072" s="609"/>
      <c r="CE1072" s="609"/>
      <c r="CF1072" s="609"/>
      <c r="CG1072" s="609"/>
      <c r="CH1072" s="609"/>
      <c r="CI1072" s="609"/>
      <c r="CJ1072" s="609"/>
      <c r="CK1072" s="609"/>
      <c r="CL1072" s="609"/>
      <c r="CM1072" s="609"/>
      <c r="CN1072" s="609"/>
      <c r="CO1072" s="609"/>
      <c r="CP1072" s="609"/>
      <c r="CQ1072" s="609"/>
      <c r="CR1072" s="609"/>
      <c r="CS1072" s="609"/>
      <c r="CT1072" s="609"/>
      <c r="CU1072" s="609"/>
      <c r="CV1072" s="609"/>
      <c r="CW1072" s="609"/>
      <c r="CX1072" s="609"/>
      <c r="CY1072" s="609"/>
      <c r="CZ1072" s="609"/>
      <c r="DA1072" s="609"/>
      <c r="DB1072" s="609"/>
      <c r="DC1072" s="609"/>
      <c r="DD1072" s="609"/>
      <c r="DE1072" s="609"/>
      <c r="DF1072" s="609"/>
      <c r="DG1072" s="609"/>
      <c r="DH1072" s="609"/>
      <c r="DI1072" s="609"/>
      <c r="DJ1072" s="609"/>
      <c r="DK1072" s="609"/>
      <c r="DL1072" s="609"/>
      <c r="DM1072" s="609"/>
      <c r="DN1072" s="609"/>
      <c r="DO1072" s="609"/>
      <c r="DP1072" s="609"/>
      <c r="DQ1072" s="609"/>
      <c r="DR1072" s="609"/>
      <c r="DS1072" s="609"/>
      <c r="DT1072" s="609"/>
      <c r="DU1072" s="609"/>
      <c r="DV1072" s="609"/>
      <c r="DW1072" s="609"/>
      <c r="DX1072" s="609"/>
      <c r="DY1072" s="609"/>
      <c r="DZ1072" s="609"/>
      <c r="EA1072" s="609"/>
      <c r="EB1072" s="609"/>
      <c r="EC1072" s="609"/>
      <c r="ED1072" s="609"/>
      <c r="EE1072" s="609"/>
      <c r="EF1072" s="609"/>
      <c r="EG1072" s="609"/>
      <c r="EH1072" s="609"/>
      <c r="EI1072" s="609"/>
      <c r="EJ1072" s="609"/>
      <c r="EK1072" s="609"/>
      <c r="EL1072" s="609"/>
      <c r="EM1072" s="609"/>
      <c r="EN1072" s="609"/>
      <c r="EO1072" s="609"/>
      <c r="EP1072" s="609"/>
      <c r="EQ1072" s="609"/>
      <c r="ER1072" s="609"/>
      <c r="ES1072" s="609"/>
      <c r="ET1072" s="609"/>
      <c r="EU1072" s="609"/>
      <c r="EV1072" s="609"/>
      <c r="EW1072" s="609"/>
      <c r="EX1072" s="609"/>
      <c r="EY1072" s="609"/>
      <c r="EZ1072" s="609"/>
      <c r="FA1072" s="609"/>
      <c r="FB1072" s="609"/>
      <c r="FC1072" s="609"/>
      <c r="FD1072" s="609"/>
      <c r="FE1072" s="609"/>
      <c r="FF1072" s="609"/>
      <c r="FG1072" s="609"/>
      <c r="FH1072" s="609"/>
      <c r="FI1072" s="609"/>
      <c r="FJ1072" s="609"/>
      <c r="FK1072" s="609"/>
      <c r="FL1072" s="609"/>
      <c r="FM1072" s="609"/>
      <c r="FN1072" s="609"/>
      <c r="FO1072" s="609"/>
      <c r="FP1072" s="609"/>
      <c r="FQ1072" s="609"/>
      <c r="FR1072" s="609"/>
      <c r="FS1072" s="609"/>
      <c r="FT1072" s="609"/>
      <c r="FU1072" s="609"/>
      <c r="FV1072" s="609"/>
      <c r="FW1072" s="609"/>
      <c r="FX1072" s="609"/>
      <c r="FY1072" s="609"/>
      <c r="FZ1072" s="609"/>
      <c r="GA1072" s="609"/>
      <c r="GB1072" s="609"/>
      <c r="GC1072" s="609"/>
      <c r="GD1072" s="609"/>
      <c r="GE1072" s="609"/>
      <c r="GF1072" s="609"/>
      <c r="GG1072" s="609"/>
      <c r="GH1072" s="609"/>
      <c r="GI1072" s="609"/>
      <c r="GJ1072" s="609"/>
      <c r="GK1072" s="609"/>
      <c r="GL1072" s="609"/>
      <c r="GM1072" s="609"/>
      <c r="GN1072" s="609"/>
      <c r="GO1072" s="609"/>
      <c r="GP1072" s="609"/>
      <c r="GQ1072" s="609"/>
      <c r="GR1072" s="609"/>
      <c r="GS1072" s="609"/>
      <c r="GT1072" s="609"/>
      <c r="GU1072" s="609"/>
      <c r="GV1072" s="609"/>
      <c r="GW1072" s="609"/>
      <c r="GX1072" s="609"/>
      <c r="GY1072" s="609"/>
      <c r="GZ1072" s="609"/>
      <c r="HA1072" s="609"/>
      <c r="HB1072" s="609"/>
      <c r="HC1072" s="609"/>
      <c r="HD1072" s="609"/>
      <c r="HE1072" s="609"/>
      <c r="HF1072" s="609"/>
      <c r="HG1072" s="609"/>
      <c r="HH1072" s="609"/>
      <c r="HI1072" s="609"/>
      <c r="HJ1072" s="609"/>
      <c r="HK1072" s="609"/>
      <c r="HL1072" s="609"/>
      <c r="HM1072" s="609"/>
      <c r="HN1072" s="609"/>
      <c r="HO1072" s="609"/>
      <c r="HP1072" s="609"/>
      <c r="HQ1072" s="609"/>
      <c r="HR1072" s="609"/>
      <c r="HS1072" s="609"/>
      <c r="HT1072" s="609"/>
      <c r="HU1072" s="609"/>
      <c r="HV1072" s="609"/>
      <c r="HW1072" s="609"/>
      <c r="HX1072" s="609"/>
      <c r="HY1072" s="609"/>
      <c r="HZ1072" s="609"/>
      <c r="IA1072" s="609"/>
      <c r="IB1072" s="609"/>
      <c r="IC1072" s="609"/>
      <c r="ID1072" s="609"/>
      <c r="IE1072" s="609"/>
      <c r="IF1072" s="609"/>
      <c r="IG1072" s="609"/>
      <c r="IH1072" s="609"/>
      <c r="II1072" s="609"/>
      <c r="IJ1072" s="609"/>
      <c r="IK1072" s="609"/>
      <c r="IL1072" s="609"/>
      <c r="IM1072" s="609"/>
      <c r="IN1072" s="609"/>
      <c r="IO1072" s="609"/>
      <c r="IP1072" s="609"/>
      <c r="IQ1072" s="609"/>
      <c r="IR1072" s="609"/>
      <c r="IS1072" s="609"/>
      <c r="IT1072" s="609"/>
      <c r="IU1072" s="609"/>
      <c r="IV1072" s="609"/>
    </row>
    <row r="1073" spans="1:256" s="642" customFormat="1" x14ac:dyDescent="0.25">
      <c r="A1073" s="634" t="s">
        <v>277</v>
      </c>
      <c r="B1073" s="634">
        <v>247</v>
      </c>
      <c r="C1073" s="634"/>
      <c r="D1073" s="635" t="s">
        <v>1070</v>
      </c>
      <c r="E1073" s="634" t="s">
        <v>229</v>
      </c>
      <c r="F1073" s="756">
        <v>0.25</v>
      </c>
      <c r="G1073" s="681">
        <v>9.65</v>
      </c>
      <c r="H1073" s="635"/>
      <c r="I1073" s="691"/>
      <c r="J1073" s="691">
        <f>ROUND(F1073*G1073,2)</f>
        <v>2.41</v>
      </c>
      <c r="K1073" s="691"/>
      <c r="L1073" s="691"/>
      <c r="M1073" s="691"/>
      <c r="N1073" s="691"/>
      <c r="O1073" s="691"/>
      <c r="P1073" s="691"/>
      <c r="Q1073" s="656"/>
      <c r="R1073" s="656"/>
      <c r="S1073" s="656"/>
      <c r="T1073" s="656"/>
      <c r="U1073" s="656"/>
      <c r="V1073" s="656"/>
      <c r="W1073" s="656"/>
      <c r="X1073" s="656"/>
      <c r="Y1073" s="656"/>
      <c r="Z1073" s="656"/>
      <c r="AA1073" s="656"/>
      <c r="AB1073" s="656"/>
      <c r="AC1073" s="656"/>
      <c r="AD1073" s="656"/>
      <c r="AE1073" s="656"/>
      <c r="AF1073" s="656"/>
      <c r="AG1073" s="656"/>
      <c r="AH1073" s="656"/>
      <c r="AI1073" s="656"/>
      <c r="AJ1073" s="656"/>
      <c r="AK1073" s="656"/>
      <c r="AL1073" s="656"/>
      <c r="AM1073" s="656"/>
      <c r="AN1073" s="656"/>
      <c r="AO1073" s="656"/>
      <c r="AP1073" s="656"/>
      <c r="AQ1073" s="656"/>
      <c r="AR1073" s="656"/>
      <c r="AS1073" s="656"/>
      <c r="AT1073" s="656"/>
      <c r="AU1073" s="656"/>
      <c r="AV1073" s="656"/>
      <c r="AW1073" s="656"/>
      <c r="AX1073" s="656"/>
      <c r="AY1073" s="656"/>
      <c r="AZ1073" s="656"/>
      <c r="BA1073" s="656"/>
      <c r="BB1073" s="656"/>
      <c r="BC1073" s="656"/>
      <c r="BD1073" s="656"/>
      <c r="BE1073" s="656"/>
      <c r="BF1073" s="656"/>
      <c r="BG1073" s="656"/>
      <c r="BH1073" s="656"/>
      <c r="BI1073" s="656"/>
      <c r="BJ1073" s="656"/>
      <c r="BK1073" s="656"/>
      <c r="BL1073" s="656"/>
      <c r="BM1073" s="656"/>
      <c r="BN1073" s="656"/>
      <c r="BO1073" s="656"/>
      <c r="BP1073" s="656"/>
      <c r="BQ1073" s="656"/>
      <c r="BR1073" s="656"/>
      <c r="BS1073" s="656"/>
      <c r="BT1073" s="656"/>
      <c r="BU1073" s="656"/>
      <c r="BV1073" s="656"/>
      <c r="BW1073" s="656"/>
      <c r="BX1073" s="656"/>
      <c r="BY1073" s="656"/>
      <c r="BZ1073" s="656"/>
      <c r="CA1073" s="656"/>
      <c r="CB1073" s="656"/>
      <c r="CC1073" s="656"/>
      <c r="CD1073" s="656"/>
      <c r="CE1073" s="656"/>
      <c r="CF1073" s="656"/>
      <c r="CG1073" s="656"/>
      <c r="CH1073" s="656"/>
      <c r="CI1073" s="656"/>
      <c r="CJ1073" s="656"/>
      <c r="CK1073" s="656"/>
      <c r="CL1073" s="656"/>
      <c r="CM1073" s="656"/>
      <c r="CN1073" s="656"/>
      <c r="CO1073" s="656"/>
      <c r="CP1073" s="656"/>
      <c r="CQ1073" s="656"/>
      <c r="CR1073" s="656"/>
      <c r="CS1073" s="656"/>
      <c r="CT1073" s="656"/>
      <c r="CU1073" s="656"/>
      <c r="CV1073" s="656"/>
      <c r="CW1073" s="656"/>
      <c r="CX1073" s="656"/>
      <c r="CY1073" s="656"/>
      <c r="CZ1073" s="656"/>
      <c r="DA1073" s="656"/>
      <c r="DB1073" s="656"/>
      <c r="DC1073" s="656"/>
      <c r="DD1073" s="656"/>
      <c r="DE1073" s="656"/>
      <c r="DF1073" s="656"/>
      <c r="DG1073" s="656"/>
      <c r="DH1073" s="656"/>
      <c r="DI1073" s="656"/>
      <c r="DJ1073" s="656"/>
      <c r="DK1073" s="656"/>
      <c r="DL1073" s="656"/>
      <c r="DM1073" s="656"/>
      <c r="DN1073" s="656"/>
      <c r="DO1073" s="656"/>
      <c r="DP1073" s="656"/>
      <c r="DQ1073" s="656"/>
      <c r="DR1073" s="656"/>
      <c r="DS1073" s="656"/>
      <c r="DT1073" s="656"/>
      <c r="DU1073" s="656"/>
      <c r="DV1073" s="656"/>
      <c r="DW1073" s="656"/>
      <c r="DX1073" s="656"/>
      <c r="DY1073" s="656"/>
      <c r="DZ1073" s="656"/>
      <c r="EA1073" s="656"/>
      <c r="EB1073" s="656"/>
      <c r="EC1073" s="656"/>
      <c r="ED1073" s="656"/>
      <c r="EE1073" s="656"/>
      <c r="EF1073" s="656"/>
      <c r="EG1073" s="656"/>
      <c r="EH1073" s="656"/>
      <c r="EI1073" s="656"/>
      <c r="EJ1073" s="656"/>
      <c r="EK1073" s="656"/>
      <c r="EL1073" s="656"/>
      <c r="EM1073" s="656"/>
      <c r="EN1073" s="656"/>
      <c r="EO1073" s="656"/>
      <c r="EP1073" s="656"/>
      <c r="EQ1073" s="656"/>
      <c r="ER1073" s="656"/>
      <c r="ES1073" s="656"/>
      <c r="ET1073" s="656"/>
      <c r="EU1073" s="656"/>
      <c r="EV1073" s="656"/>
      <c r="EW1073" s="656"/>
      <c r="EX1073" s="656"/>
      <c r="EY1073" s="656"/>
      <c r="EZ1073" s="656"/>
      <c r="FA1073" s="656"/>
      <c r="FB1073" s="656"/>
      <c r="FC1073" s="656"/>
      <c r="FD1073" s="656"/>
      <c r="FE1073" s="656"/>
      <c r="FF1073" s="656"/>
      <c r="FG1073" s="656"/>
      <c r="FH1073" s="656"/>
      <c r="FI1073" s="656"/>
      <c r="FJ1073" s="656"/>
      <c r="FK1073" s="656"/>
      <c r="FL1073" s="656"/>
      <c r="FM1073" s="656"/>
      <c r="FN1073" s="656"/>
      <c r="FO1073" s="656"/>
      <c r="FP1073" s="656"/>
      <c r="FQ1073" s="656"/>
      <c r="FR1073" s="656"/>
      <c r="FS1073" s="656"/>
      <c r="FT1073" s="656"/>
      <c r="FU1073" s="656"/>
      <c r="FV1073" s="656"/>
      <c r="FW1073" s="656"/>
      <c r="FX1073" s="656"/>
      <c r="FY1073" s="656"/>
      <c r="FZ1073" s="656"/>
      <c r="GA1073" s="656"/>
      <c r="GB1073" s="656"/>
      <c r="GC1073" s="656"/>
      <c r="GD1073" s="656"/>
      <c r="GE1073" s="656"/>
      <c r="GF1073" s="656"/>
      <c r="GG1073" s="656"/>
      <c r="GH1073" s="656"/>
      <c r="GI1073" s="656"/>
      <c r="GJ1073" s="656"/>
      <c r="GK1073" s="656"/>
      <c r="GL1073" s="656"/>
      <c r="GM1073" s="656"/>
      <c r="GN1073" s="656"/>
      <c r="GO1073" s="656"/>
      <c r="GP1073" s="656"/>
      <c r="GQ1073" s="656"/>
      <c r="GR1073" s="656"/>
      <c r="GS1073" s="656"/>
      <c r="GT1073" s="656"/>
      <c r="GU1073" s="656"/>
      <c r="GV1073" s="656"/>
      <c r="GW1073" s="656"/>
      <c r="GX1073" s="656"/>
      <c r="GY1073" s="656"/>
      <c r="GZ1073" s="656"/>
      <c r="HA1073" s="656"/>
      <c r="HB1073" s="656"/>
      <c r="HC1073" s="656"/>
      <c r="HD1073" s="656"/>
      <c r="HE1073" s="656"/>
      <c r="HF1073" s="656"/>
      <c r="HG1073" s="656"/>
      <c r="HH1073" s="656"/>
      <c r="HI1073" s="656"/>
      <c r="HJ1073" s="656"/>
      <c r="HK1073" s="656"/>
      <c r="HL1073" s="656"/>
      <c r="HM1073" s="656"/>
      <c r="HN1073" s="656"/>
      <c r="HO1073" s="656"/>
      <c r="HP1073" s="656"/>
      <c r="HQ1073" s="656"/>
      <c r="HR1073" s="656"/>
      <c r="HS1073" s="656"/>
      <c r="HT1073" s="656"/>
      <c r="HU1073" s="656"/>
      <c r="HV1073" s="656"/>
      <c r="HW1073" s="656"/>
      <c r="HX1073" s="656"/>
      <c r="HY1073" s="656"/>
      <c r="HZ1073" s="656"/>
      <c r="IA1073" s="656"/>
      <c r="IB1073" s="656"/>
      <c r="IC1073" s="656"/>
      <c r="ID1073" s="656"/>
      <c r="IE1073" s="656"/>
      <c r="IF1073" s="656"/>
      <c r="IG1073" s="656"/>
      <c r="IH1073" s="656"/>
      <c r="II1073" s="656"/>
      <c r="IJ1073" s="656"/>
      <c r="IK1073" s="656"/>
      <c r="IL1073" s="656"/>
      <c r="IM1073" s="656"/>
      <c r="IN1073" s="656"/>
      <c r="IO1073" s="656"/>
      <c r="IP1073" s="656"/>
      <c r="IQ1073" s="656"/>
      <c r="IR1073" s="656"/>
      <c r="IS1073" s="656"/>
      <c r="IT1073" s="656"/>
      <c r="IU1073" s="656"/>
      <c r="IV1073" s="656"/>
    </row>
    <row r="1074" spans="1:256" s="642" customFormat="1" ht="12" customHeight="1" x14ac:dyDescent="0.25">
      <c r="A1074" s="701"/>
      <c r="B1074" s="701"/>
      <c r="C1074" s="746"/>
      <c r="D1074" s="757"/>
      <c r="E1074" s="758"/>
      <c r="F1074" s="759"/>
      <c r="G1074" s="690"/>
      <c r="H1074" s="760"/>
      <c r="I1074" s="690"/>
      <c r="J1074" s="690"/>
      <c r="K1074" s="748"/>
      <c r="L1074" s="748"/>
      <c r="M1074" s="748"/>
      <c r="N1074" s="748"/>
      <c r="O1074" s="748"/>
      <c r="P1074" s="748"/>
      <c r="Q1074" s="656"/>
      <c r="R1074" s="656"/>
      <c r="S1074" s="656"/>
      <c r="T1074" s="656"/>
      <c r="U1074" s="656"/>
      <c r="V1074" s="656"/>
      <c r="W1074" s="656"/>
      <c r="X1074" s="656"/>
      <c r="Y1074" s="656"/>
      <c r="Z1074" s="656"/>
      <c r="AA1074" s="656"/>
      <c r="AB1074" s="656"/>
      <c r="AC1074" s="656"/>
      <c r="AD1074" s="656"/>
      <c r="AE1074" s="656"/>
      <c r="AF1074" s="656"/>
      <c r="AG1074" s="656"/>
      <c r="AH1074" s="656"/>
      <c r="AI1074" s="656"/>
      <c r="AJ1074" s="656"/>
      <c r="AK1074" s="656"/>
      <c r="AL1074" s="656"/>
      <c r="AM1074" s="656"/>
      <c r="AN1074" s="656"/>
      <c r="AO1074" s="656"/>
      <c r="AP1074" s="656"/>
      <c r="AQ1074" s="656"/>
      <c r="AR1074" s="656"/>
      <c r="AS1074" s="656"/>
      <c r="AT1074" s="656"/>
      <c r="AU1074" s="656"/>
      <c r="AV1074" s="656"/>
      <c r="AW1074" s="656"/>
      <c r="AX1074" s="656"/>
      <c r="AY1074" s="656"/>
      <c r="AZ1074" s="656"/>
      <c r="BA1074" s="656"/>
      <c r="BB1074" s="656"/>
      <c r="BC1074" s="656"/>
      <c r="BD1074" s="656"/>
      <c r="BE1074" s="656"/>
      <c r="BF1074" s="656"/>
      <c r="BG1074" s="656"/>
      <c r="BH1074" s="656"/>
      <c r="BI1074" s="656"/>
      <c r="BJ1074" s="656"/>
      <c r="BK1074" s="656"/>
      <c r="BL1074" s="656"/>
      <c r="BM1074" s="656"/>
      <c r="BN1074" s="656"/>
      <c r="BO1074" s="656"/>
      <c r="BP1074" s="656"/>
      <c r="BQ1074" s="656"/>
      <c r="BR1074" s="656"/>
      <c r="BS1074" s="656"/>
      <c r="BT1074" s="656"/>
      <c r="BU1074" s="656"/>
      <c r="BV1074" s="656"/>
      <c r="BW1074" s="656"/>
      <c r="BX1074" s="656"/>
      <c r="BY1074" s="656"/>
      <c r="BZ1074" s="656"/>
      <c r="CA1074" s="656"/>
      <c r="CB1074" s="656"/>
      <c r="CC1074" s="656"/>
      <c r="CD1074" s="656"/>
      <c r="CE1074" s="656"/>
      <c r="CF1074" s="656"/>
      <c r="CG1074" s="656"/>
      <c r="CH1074" s="656"/>
      <c r="CI1074" s="656"/>
      <c r="CJ1074" s="656"/>
      <c r="CK1074" s="656"/>
      <c r="CL1074" s="656"/>
      <c r="CM1074" s="656"/>
      <c r="CN1074" s="656"/>
      <c r="CO1074" s="656"/>
      <c r="CP1074" s="656"/>
      <c r="CQ1074" s="656"/>
      <c r="CR1074" s="656"/>
      <c r="CS1074" s="656"/>
      <c r="CT1074" s="656"/>
      <c r="CU1074" s="656"/>
      <c r="CV1074" s="656"/>
      <c r="CW1074" s="656"/>
      <c r="CX1074" s="656"/>
      <c r="CY1074" s="656"/>
      <c r="CZ1074" s="656"/>
      <c r="DA1074" s="656"/>
      <c r="DB1074" s="656"/>
      <c r="DC1074" s="656"/>
      <c r="DD1074" s="656"/>
      <c r="DE1074" s="656"/>
      <c r="DF1074" s="656"/>
      <c r="DG1074" s="656"/>
      <c r="DH1074" s="656"/>
      <c r="DI1074" s="656"/>
      <c r="DJ1074" s="656"/>
      <c r="DK1074" s="656"/>
      <c r="DL1074" s="656"/>
      <c r="DM1074" s="656"/>
      <c r="DN1074" s="656"/>
      <c r="DO1074" s="656"/>
      <c r="DP1074" s="656"/>
      <c r="DQ1074" s="656"/>
      <c r="DR1074" s="656"/>
      <c r="DS1074" s="656"/>
      <c r="DT1074" s="656"/>
      <c r="DU1074" s="656"/>
      <c r="DV1074" s="656"/>
      <c r="DW1074" s="656"/>
      <c r="DX1074" s="656"/>
      <c r="DY1074" s="656"/>
      <c r="DZ1074" s="656"/>
      <c r="EA1074" s="656"/>
      <c r="EB1074" s="656"/>
      <c r="EC1074" s="656"/>
      <c r="ED1074" s="656"/>
      <c r="EE1074" s="656"/>
      <c r="EF1074" s="656"/>
      <c r="EG1074" s="656"/>
      <c r="EH1074" s="656"/>
      <c r="EI1074" s="656"/>
      <c r="EJ1074" s="656"/>
      <c r="EK1074" s="656"/>
      <c r="EL1074" s="656"/>
      <c r="EM1074" s="656"/>
      <c r="EN1074" s="656"/>
      <c r="EO1074" s="656"/>
      <c r="EP1074" s="656"/>
      <c r="EQ1074" s="656"/>
      <c r="ER1074" s="656"/>
      <c r="ES1074" s="656"/>
      <c r="ET1074" s="656"/>
      <c r="EU1074" s="656"/>
      <c r="EV1074" s="656"/>
      <c r="EW1074" s="656"/>
      <c r="EX1074" s="656"/>
      <c r="EY1074" s="656"/>
      <c r="EZ1074" s="656"/>
      <c r="FA1074" s="656"/>
      <c r="FB1074" s="656"/>
      <c r="FC1074" s="656"/>
      <c r="FD1074" s="656"/>
      <c r="FE1074" s="656"/>
      <c r="FF1074" s="656"/>
      <c r="FG1074" s="656"/>
      <c r="FH1074" s="656"/>
      <c r="FI1074" s="656"/>
      <c r="FJ1074" s="656"/>
      <c r="FK1074" s="656"/>
      <c r="FL1074" s="656"/>
      <c r="FM1074" s="656"/>
      <c r="FN1074" s="656"/>
      <c r="FO1074" s="656"/>
      <c r="FP1074" s="656"/>
      <c r="FQ1074" s="656"/>
      <c r="FR1074" s="656"/>
      <c r="FS1074" s="656"/>
      <c r="FT1074" s="656"/>
      <c r="FU1074" s="656"/>
      <c r="FV1074" s="656"/>
      <c r="FW1074" s="656"/>
      <c r="FX1074" s="656"/>
      <c r="FY1074" s="656"/>
      <c r="FZ1074" s="656"/>
      <c r="GA1074" s="656"/>
      <c r="GB1074" s="656"/>
      <c r="GC1074" s="656"/>
      <c r="GD1074" s="656"/>
      <c r="GE1074" s="656"/>
      <c r="GF1074" s="656"/>
      <c r="GG1074" s="656"/>
      <c r="GH1074" s="656"/>
      <c r="GI1074" s="656"/>
      <c r="GJ1074" s="656"/>
      <c r="GK1074" s="656"/>
      <c r="GL1074" s="656"/>
      <c r="GM1074" s="656"/>
      <c r="GN1074" s="656"/>
      <c r="GO1074" s="656"/>
      <c r="GP1074" s="656"/>
      <c r="GQ1074" s="656"/>
      <c r="GR1074" s="656"/>
      <c r="GS1074" s="656"/>
      <c r="GT1074" s="656"/>
      <c r="GU1074" s="656"/>
      <c r="GV1074" s="656"/>
      <c r="GW1074" s="656"/>
      <c r="GX1074" s="656"/>
      <c r="GY1074" s="656"/>
      <c r="GZ1074" s="656"/>
      <c r="HA1074" s="656"/>
      <c r="HB1074" s="656"/>
      <c r="HC1074" s="656"/>
      <c r="HD1074" s="656"/>
      <c r="HE1074" s="656"/>
      <c r="HF1074" s="656"/>
      <c r="HG1074" s="656"/>
      <c r="HH1074" s="656"/>
      <c r="HI1074" s="656"/>
      <c r="HJ1074" s="656"/>
      <c r="HK1074" s="656"/>
      <c r="HL1074" s="656"/>
      <c r="HM1074" s="656"/>
      <c r="HN1074" s="656"/>
      <c r="HO1074" s="656"/>
      <c r="HP1074" s="656"/>
      <c r="HQ1074" s="656"/>
      <c r="HR1074" s="656"/>
      <c r="HS1074" s="656"/>
      <c r="HT1074" s="656"/>
      <c r="HU1074" s="656"/>
      <c r="HV1074" s="656"/>
      <c r="HW1074" s="656"/>
      <c r="HX1074" s="656"/>
      <c r="HY1074" s="656"/>
      <c r="HZ1074" s="656"/>
      <c r="IA1074" s="656"/>
      <c r="IB1074" s="656"/>
      <c r="IC1074" s="656"/>
      <c r="ID1074" s="656"/>
      <c r="IE1074" s="656"/>
      <c r="IF1074" s="656"/>
      <c r="IG1074" s="656"/>
      <c r="IH1074" s="656"/>
      <c r="II1074" s="656"/>
      <c r="IJ1074" s="656"/>
      <c r="IK1074" s="656"/>
      <c r="IL1074" s="656"/>
      <c r="IM1074" s="656"/>
      <c r="IN1074" s="656"/>
      <c r="IO1074" s="656"/>
      <c r="IP1074" s="656"/>
      <c r="IQ1074" s="656"/>
      <c r="IR1074" s="656"/>
      <c r="IS1074" s="656"/>
      <c r="IT1074" s="656"/>
      <c r="IU1074" s="656"/>
      <c r="IV1074" s="656"/>
    </row>
    <row r="1075" spans="1:256" s="642" customFormat="1" x14ac:dyDescent="0.25">
      <c r="A1075" s="637"/>
      <c r="B1075" s="637"/>
      <c r="C1075" s="637" t="s">
        <v>1776</v>
      </c>
      <c r="D1075" s="639" t="s">
        <v>1777</v>
      </c>
      <c r="E1075" s="637"/>
      <c r="F1075" s="639"/>
      <c r="G1075" s="640"/>
      <c r="H1075" s="639"/>
      <c r="I1075" s="639"/>
      <c r="J1075" s="639"/>
      <c r="K1075" s="639"/>
      <c r="L1075" s="639"/>
      <c r="M1075" s="639"/>
      <c r="N1075" s="639"/>
      <c r="O1075" s="639"/>
      <c r="P1075" s="653">
        <f>P1077</f>
        <v>2755.2672000000002</v>
      </c>
      <c r="Q1075" s="656"/>
      <c r="R1075" s="656"/>
      <c r="S1075" s="656"/>
      <c r="T1075" s="656"/>
      <c r="U1075" s="656"/>
      <c r="V1075" s="656"/>
      <c r="W1075" s="656"/>
      <c r="X1075" s="656"/>
      <c r="Y1075" s="656"/>
      <c r="Z1075" s="656"/>
      <c r="AA1075" s="656"/>
      <c r="AB1075" s="656"/>
      <c r="AC1075" s="656"/>
      <c r="AD1075" s="656"/>
      <c r="AE1075" s="656"/>
      <c r="AF1075" s="656"/>
      <c r="AG1075" s="656"/>
      <c r="AH1075" s="656"/>
      <c r="AI1075" s="656"/>
      <c r="AJ1075" s="656"/>
      <c r="AK1075" s="656"/>
      <c r="AL1075" s="656"/>
      <c r="AM1075" s="656"/>
      <c r="AN1075" s="656"/>
      <c r="AO1075" s="656"/>
      <c r="AP1075" s="656"/>
      <c r="AQ1075" s="656"/>
      <c r="AR1075" s="656"/>
      <c r="AS1075" s="656"/>
      <c r="AT1075" s="656"/>
      <c r="AU1075" s="656"/>
      <c r="AV1075" s="656"/>
      <c r="AW1075" s="656"/>
      <c r="AX1075" s="656"/>
      <c r="AY1075" s="656"/>
      <c r="AZ1075" s="656"/>
      <c r="BA1075" s="656"/>
      <c r="BB1075" s="656"/>
      <c r="BC1075" s="656"/>
      <c r="BD1075" s="656"/>
      <c r="BE1075" s="656"/>
      <c r="BF1075" s="656"/>
      <c r="BG1075" s="656"/>
      <c r="BH1075" s="656"/>
      <c r="BI1075" s="656"/>
      <c r="BJ1075" s="656"/>
      <c r="BK1075" s="656"/>
      <c r="BL1075" s="656"/>
      <c r="BM1075" s="656"/>
      <c r="BN1075" s="656"/>
      <c r="BO1075" s="656"/>
      <c r="BP1075" s="656"/>
      <c r="BQ1075" s="656"/>
      <c r="BR1075" s="656"/>
      <c r="BS1075" s="656"/>
      <c r="BT1075" s="656"/>
      <c r="BU1075" s="656"/>
      <c r="BV1075" s="656"/>
      <c r="BW1075" s="656"/>
      <c r="BX1075" s="656"/>
      <c r="BY1075" s="656"/>
      <c r="BZ1075" s="656"/>
      <c r="CA1075" s="656"/>
      <c r="CB1075" s="656"/>
      <c r="CC1075" s="656"/>
      <c r="CD1075" s="656"/>
      <c r="CE1075" s="656"/>
      <c r="CF1075" s="656"/>
      <c r="CG1075" s="656"/>
      <c r="CH1075" s="656"/>
      <c r="CI1075" s="656"/>
      <c r="CJ1075" s="656"/>
      <c r="CK1075" s="656"/>
      <c r="CL1075" s="656"/>
      <c r="CM1075" s="656"/>
      <c r="CN1075" s="656"/>
      <c r="CO1075" s="656"/>
      <c r="CP1075" s="656"/>
      <c r="CQ1075" s="656"/>
      <c r="CR1075" s="656"/>
      <c r="CS1075" s="656"/>
      <c r="CT1075" s="656"/>
      <c r="CU1075" s="656"/>
      <c r="CV1075" s="656"/>
      <c r="CW1075" s="656"/>
      <c r="CX1075" s="656"/>
      <c r="CY1075" s="656"/>
      <c r="CZ1075" s="656"/>
      <c r="DA1075" s="656"/>
      <c r="DB1075" s="656"/>
      <c r="DC1075" s="656"/>
      <c r="DD1075" s="656"/>
      <c r="DE1075" s="656"/>
      <c r="DF1075" s="656"/>
      <c r="DG1075" s="656"/>
      <c r="DH1075" s="656"/>
      <c r="DI1075" s="656"/>
      <c r="DJ1075" s="656"/>
      <c r="DK1075" s="656"/>
      <c r="DL1075" s="656"/>
      <c r="DM1075" s="656"/>
      <c r="DN1075" s="656"/>
      <c r="DO1075" s="656"/>
      <c r="DP1075" s="656"/>
      <c r="DQ1075" s="656"/>
      <c r="DR1075" s="656"/>
      <c r="DS1075" s="656"/>
      <c r="DT1075" s="656"/>
      <c r="DU1075" s="656"/>
      <c r="DV1075" s="656"/>
      <c r="DW1075" s="656"/>
      <c r="DX1075" s="656"/>
      <c r="DY1075" s="656"/>
      <c r="DZ1075" s="656"/>
      <c r="EA1075" s="656"/>
      <c r="EB1075" s="656"/>
      <c r="EC1075" s="656"/>
      <c r="ED1075" s="656"/>
      <c r="EE1075" s="656"/>
      <c r="EF1075" s="656"/>
      <c r="EG1075" s="656"/>
      <c r="EH1075" s="656"/>
      <c r="EI1075" s="656"/>
      <c r="EJ1075" s="656"/>
      <c r="EK1075" s="656"/>
      <c r="EL1075" s="656"/>
      <c r="EM1075" s="656"/>
      <c r="EN1075" s="656"/>
      <c r="EO1075" s="656"/>
      <c r="EP1075" s="656"/>
      <c r="EQ1075" s="656"/>
      <c r="ER1075" s="656"/>
      <c r="ES1075" s="656"/>
      <c r="ET1075" s="656"/>
      <c r="EU1075" s="656"/>
      <c r="EV1075" s="656"/>
      <c r="EW1075" s="656"/>
      <c r="EX1075" s="656"/>
      <c r="EY1075" s="656"/>
      <c r="EZ1075" s="656"/>
      <c r="FA1075" s="656"/>
      <c r="FB1075" s="656"/>
      <c r="FC1075" s="656"/>
      <c r="FD1075" s="656"/>
      <c r="FE1075" s="656"/>
      <c r="FF1075" s="656"/>
      <c r="FG1075" s="656"/>
      <c r="FH1075" s="656"/>
      <c r="FI1075" s="656"/>
      <c r="FJ1075" s="656"/>
      <c r="FK1075" s="656"/>
      <c r="FL1075" s="656"/>
      <c r="FM1075" s="656"/>
      <c r="FN1075" s="656"/>
      <c r="FO1075" s="656"/>
      <c r="FP1075" s="656"/>
      <c r="FQ1075" s="656"/>
      <c r="FR1075" s="656"/>
      <c r="FS1075" s="656"/>
      <c r="FT1075" s="656"/>
      <c r="FU1075" s="656"/>
      <c r="FV1075" s="656"/>
      <c r="FW1075" s="656"/>
      <c r="FX1075" s="656"/>
      <c r="FY1075" s="656"/>
      <c r="FZ1075" s="656"/>
      <c r="GA1075" s="656"/>
      <c r="GB1075" s="656"/>
      <c r="GC1075" s="656"/>
      <c r="GD1075" s="656"/>
      <c r="GE1075" s="656"/>
      <c r="GF1075" s="656"/>
      <c r="GG1075" s="656"/>
      <c r="GH1075" s="656"/>
      <c r="GI1075" s="656"/>
      <c r="GJ1075" s="656"/>
      <c r="GK1075" s="656"/>
      <c r="GL1075" s="656"/>
      <c r="GM1075" s="656"/>
      <c r="GN1075" s="656"/>
      <c r="GO1075" s="656"/>
      <c r="GP1075" s="656"/>
      <c r="GQ1075" s="656"/>
      <c r="GR1075" s="656"/>
      <c r="GS1075" s="656"/>
      <c r="GT1075" s="656"/>
      <c r="GU1075" s="656"/>
      <c r="GV1075" s="656"/>
      <c r="GW1075" s="656"/>
      <c r="GX1075" s="656"/>
      <c r="GY1075" s="656"/>
      <c r="GZ1075" s="656"/>
      <c r="HA1075" s="656"/>
      <c r="HB1075" s="656"/>
      <c r="HC1075" s="656"/>
      <c r="HD1075" s="656"/>
      <c r="HE1075" s="656"/>
      <c r="HF1075" s="656"/>
      <c r="HG1075" s="656"/>
      <c r="HH1075" s="656"/>
      <c r="HI1075" s="656"/>
      <c r="HJ1075" s="656"/>
      <c r="HK1075" s="656"/>
      <c r="HL1075" s="656"/>
      <c r="HM1075" s="656"/>
      <c r="HN1075" s="656"/>
      <c r="HO1075" s="656"/>
      <c r="HP1075" s="656"/>
      <c r="HQ1075" s="656"/>
      <c r="HR1075" s="656"/>
      <c r="HS1075" s="656"/>
      <c r="HT1075" s="656"/>
      <c r="HU1075" s="656"/>
      <c r="HV1075" s="656"/>
      <c r="HW1075" s="656"/>
      <c r="HX1075" s="656"/>
      <c r="HY1075" s="656"/>
      <c r="HZ1075" s="656"/>
      <c r="IA1075" s="656"/>
      <c r="IB1075" s="656"/>
      <c r="IC1075" s="656"/>
      <c r="ID1075" s="656"/>
      <c r="IE1075" s="656"/>
      <c r="IF1075" s="656"/>
      <c r="IG1075" s="656"/>
      <c r="IH1075" s="656"/>
      <c r="II1075" s="656"/>
      <c r="IJ1075" s="656"/>
      <c r="IK1075" s="656"/>
      <c r="IL1075" s="656"/>
      <c r="IM1075" s="656"/>
      <c r="IN1075" s="656"/>
      <c r="IO1075" s="656"/>
      <c r="IP1075" s="656"/>
      <c r="IQ1075" s="656"/>
      <c r="IR1075" s="656"/>
      <c r="IS1075" s="656"/>
      <c r="IT1075" s="656"/>
      <c r="IU1075" s="656"/>
      <c r="IV1075" s="656"/>
    </row>
    <row r="1076" spans="1:256" s="642" customFormat="1" ht="12" customHeight="1" x14ac:dyDescent="0.25">
      <c r="A1076" s="701"/>
      <c r="B1076" s="701"/>
      <c r="C1076" s="746"/>
      <c r="D1076" s="757"/>
      <c r="E1076" s="758"/>
      <c r="F1076" s="759"/>
      <c r="G1076" s="690"/>
      <c r="H1076" s="760"/>
      <c r="I1076" s="690"/>
      <c r="J1076" s="690"/>
      <c r="K1076" s="748"/>
      <c r="L1076" s="748"/>
      <c r="M1076" s="748"/>
      <c r="N1076" s="748"/>
      <c r="O1076" s="748"/>
      <c r="P1076" s="748"/>
      <c r="Q1076" s="656"/>
      <c r="R1076" s="656"/>
      <c r="S1076" s="656"/>
      <c r="T1076" s="656"/>
      <c r="U1076" s="656"/>
      <c r="V1076" s="656"/>
      <c r="W1076" s="656"/>
      <c r="X1076" s="656"/>
      <c r="Y1076" s="656"/>
      <c r="Z1076" s="656"/>
      <c r="AA1076" s="656"/>
      <c r="AB1076" s="656"/>
      <c r="AC1076" s="656"/>
      <c r="AD1076" s="656"/>
      <c r="AE1076" s="656"/>
      <c r="AF1076" s="656"/>
      <c r="AG1076" s="656"/>
      <c r="AH1076" s="656"/>
      <c r="AI1076" s="656"/>
      <c r="AJ1076" s="656"/>
      <c r="AK1076" s="656"/>
      <c r="AL1076" s="656"/>
      <c r="AM1076" s="656"/>
      <c r="AN1076" s="656"/>
      <c r="AO1076" s="656"/>
      <c r="AP1076" s="656"/>
      <c r="AQ1076" s="656"/>
      <c r="AR1076" s="656"/>
      <c r="AS1076" s="656"/>
      <c r="AT1076" s="656"/>
      <c r="AU1076" s="656"/>
      <c r="AV1076" s="656"/>
      <c r="AW1076" s="656"/>
      <c r="AX1076" s="656"/>
      <c r="AY1076" s="656"/>
      <c r="AZ1076" s="656"/>
      <c r="BA1076" s="656"/>
      <c r="BB1076" s="656"/>
      <c r="BC1076" s="656"/>
      <c r="BD1076" s="656"/>
      <c r="BE1076" s="656"/>
      <c r="BF1076" s="656"/>
      <c r="BG1076" s="656"/>
      <c r="BH1076" s="656"/>
      <c r="BI1076" s="656"/>
      <c r="BJ1076" s="656"/>
      <c r="BK1076" s="656"/>
      <c r="BL1076" s="656"/>
      <c r="BM1076" s="656"/>
      <c r="BN1076" s="656"/>
      <c r="BO1076" s="656"/>
      <c r="BP1076" s="656"/>
      <c r="BQ1076" s="656"/>
      <c r="BR1076" s="656"/>
      <c r="BS1076" s="656"/>
      <c r="BT1076" s="656"/>
      <c r="BU1076" s="656"/>
      <c r="BV1076" s="656"/>
      <c r="BW1076" s="656"/>
      <c r="BX1076" s="656"/>
      <c r="BY1076" s="656"/>
      <c r="BZ1076" s="656"/>
      <c r="CA1076" s="656"/>
      <c r="CB1076" s="656"/>
      <c r="CC1076" s="656"/>
      <c r="CD1076" s="656"/>
      <c r="CE1076" s="656"/>
      <c r="CF1076" s="656"/>
      <c r="CG1076" s="656"/>
      <c r="CH1076" s="656"/>
      <c r="CI1076" s="656"/>
      <c r="CJ1076" s="656"/>
      <c r="CK1076" s="656"/>
      <c r="CL1076" s="656"/>
      <c r="CM1076" s="656"/>
      <c r="CN1076" s="656"/>
      <c r="CO1076" s="656"/>
      <c r="CP1076" s="656"/>
      <c r="CQ1076" s="656"/>
      <c r="CR1076" s="656"/>
      <c r="CS1076" s="656"/>
      <c r="CT1076" s="656"/>
      <c r="CU1076" s="656"/>
      <c r="CV1076" s="656"/>
      <c r="CW1076" s="656"/>
      <c r="CX1076" s="656"/>
      <c r="CY1076" s="656"/>
      <c r="CZ1076" s="656"/>
      <c r="DA1076" s="656"/>
      <c r="DB1076" s="656"/>
      <c r="DC1076" s="656"/>
      <c r="DD1076" s="656"/>
      <c r="DE1076" s="656"/>
      <c r="DF1076" s="656"/>
      <c r="DG1076" s="656"/>
      <c r="DH1076" s="656"/>
      <c r="DI1076" s="656"/>
      <c r="DJ1076" s="656"/>
      <c r="DK1076" s="656"/>
      <c r="DL1076" s="656"/>
      <c r="DM1076" s="656"/>
      <c r="DN1076" s="656"/>
      <c r="DO1076" s="656"/>
      <c r="DP1076" s="656"/>
      <c r="DQ1076" s="656"/>
      <c r="DR1076" s="656"/>
      <c r="DS1076" s="656"/>
      <c r="DT1076" s="656"/>
      <c r="DU1076" s="656"/>
      <c r="DV1076" s="656"/>
      <c r="DW1076" s="656"/>
      <c r="DX1076" s="656"/>
      <c r="DY1076" s="656"/>
      <c r="DZ1076" s="656"/>
      <c r="EA1076" s="656"/>
      <c r="EB1076" s="656"/>
      <c r="EC1076" s="656"/>
      <c r="ED1076" s="656"/>
      <c r="EE1076" s="656"/>
      <c r="EF1076" s="656"/>
      <c r="EG1076" s="656"/>
      <c r="EH1076" s="656"/>
      <c r="EI1076" s="656"/>
      <c r="EJ1076" s="656"/>
      <c r="EK1076" s="656"/>
      <c r="EL1076" s="656"/>
      <c r="EM1076" s="656"/>
      <c r="EN1076" s="656"/>
      <c r="EO1076" s="656"/>
      <c r="EP1076" s="656"/>
      <c r="EQ1076" s="656"/>
      <c r="ER1076" s="656"/>
      <c r="ES1076" s="656"/>
      <c r="ET1076" s="656"/>
      <c r="EU1076" s="656"/>
      <c r="EV1076" s="656"/>
      <c r="EW1076" s="656"/>
      <c r="EX1076" s="656"/>
      <c r="EY1076" s="656"/>
      <c r="EZ1076" s="656"/>
      <c r="FA1076" s="656"/>
      <c r="FB1076" s="656"/>
      <c r="FC1076" s="656"/>
      <c r="FD1076" s="656"/>
      <c r="FE1076" s="656"/>
      <c r="FF1076" s="656"/>
      <c r="FG1076" s="656"/>
      <c r="FH1076" s="656"/>
      <c r="FI1076" s="656"/>
      <c r="FJ1076" s="656"/>
      <c r="FK1076" s="656"/>
      <c r="FL1076" s="656"/>
      <c r="FM1076" s="656"/>
      <c r="FN1076" s="656"/>
      <c r="FO1076" s="656"/>
      <c r="FP1076" s="656"/>
      <c r="FQ1076" s="656"/>
      <c r="FR1076" s="656"/>
      <c r="FS1076" s="656"/>
      <c r="FT1076" s="656"/>
      <c r="FU1076" s="656"/>
      <c r="FV1076" s="656"/>
      <c r="FW1076" s="656"/>
      <c r="FX1076" s="656"/>
      <c r="FY1076" s="656"/>
      <c r="FZ1076" s="656"/>
      <c r="GA1076" s="656"/>
      <c r="GB1076" s="656"/>
      <c r="GC1076" s="656"/>
      <c r="GD1076" s="656"/>
      <c r="GE1076" s="656"/>
      <c r="GF1076" s="656"/>
      <c r="GG1076" s="656"/>
      <c r="GH1076" s="656"/>
      <c r="GI1076" s="656"/>
      <c r="GJ1076" s="656"/>
      <c r="GK1076" s="656"/>
      <c r="GL1076" s="656"/>
      <c r="GM1076" s="656"/>
      <c r="GN1076" s="656"/>
      <c r="GO1076" s="656"/>
      <c r="GP1076" s="656"/>
      <c r="GQ1076" s="656"/>
      <c r="GR1076" s="656"/>
      <c r="GS1076" s="656"/>
      <c r="GT1076" s="656"/>
      <c r="GU1076" s="656"/>
      <c r="GV1076" s="656"/>
      <c r="GW1076" s="656"/>
      <c r="GX1076" s="656"/>
      <c r="GY1076" s="656"/>
      <c r="GZ1076" s="656"/>
      <c r="HA1076" s="656"/>
      <c r="HB1076" s="656"/>
      <c r="HC1076" s="656"/>
      <c r="HD1076" s="656"/>
      <c r="HE1076" s="656"/>
      <c r="HF1076" s="656"/>
      <c r="HG1076" s="656"/>
      <c r="HH1076" s="656"/>
      <c r="HI1076" s="656"/>
      <c r="HJ1076" s="656"/>
      <c r="HK1076" s="656"/>
      <c r="HL1076" s="656"/>
      <c r="HM1076" s="656"/>
      <c r="HN1076" s="656"/>
      <c r="HO1076" s="656"/>
      <c r="HP1076" s="656"/>
      <c r="HQ1076" s="656"/>
      <c r="HR1076" s="656"/>
      <c r="HS1076" s="656"/>
      <c r="HT1076" s="656"/>
      <c r="HU1076" s="656"/>
      <c r="HV1076" s="656"/>
      <c r="HW1076" s="656"/>
      <c r="HX1076" s="656"/>
      <c r="HY1076" s="656"/>
      <c r="HZ1076" s="656"/>
      <c r="IA1076" s="656"/>
      <c r="IB1076" s="656"/>
      <c r="IC1076" s="656"/>
      <c r="ID1076" s="656"/>
      <c r="IE1076" s="656"/>
      <c r="IF1076" s="656"/>
      <c r="IG1076" s="656"/>
      <c r="IH1076" s="656"/>
      <c r="II1076" s="656"/>
      <c r="IJ1076" s="656"/>
      <c r="IK1076" s="656"/>
      <c r="IL1076" s="656"/>
      <c r="IM1076" s="656"/>
      <c r="IN1076" s="656"/>
      <c r="IO1076" s="656"/>
      <c r="IP1076" s="656"/>
      <c r="IQ1076" s="656"/>
      <c r="IR1076" s="656"/>
      <c r="IS1076" s="656"/>
      <c r="IT1076" s="656"/>
      <c r="IU1076" s="656"/>
      <c r="IV1076" s="656"/>
    </row>
    <row r="1077" spans="1:256" s="642" customFormat="1" ht="24" x14ac:dyDescent="0.25">
      <c r="A1077" s="662" t="s">
        <v>1705</v>
      </c>
      <c r="B1077" s="761"/>
      <c r="C1077" s="663" t="s">
        <v>1778</v>
      </c>
      <c r="D1077" s="741" t="s">
        <v>1779</v>
      </c>
      <c r="E1077" s="631" t="s">
        <v>1747</v>
      </c>
      <c r="F1077" s="632"/>
      <c r="G1077" s="742">
        <v>14</v>
      </c>
      <c r="H1077" s="632">
        <v>158</v>
      </c>
      <c r="I1077" s="620"/>
      <c r="J1077" s="677">
        <f>G1077</f>
        <v>14</v>
      </c>
      <c r="K1077" s="677">
        <f>I1077+J1077</f>
        <v>14</v>
      </c>
      <c r="L1077" s="622">
        <f>H1077*I1077</f>
        <v>0</v>
      </c>
      <c r="M1077" s="622">
        <f>H1077*J1077</f>
        <v>2212</v>
      </c>
      <c r="N1077" s="622">
        <f>L1077+M1077</f>
        <v>2212</v>
      </c>
      <c r="O1077" s="622">
        <f>N1077*$P$4</f>
        <v>543.2672</v>
      </c>
      <c r="P1077" s="622">
        <f>N1077+O1077</f>
        <v>2755.2672000000002</v>
      </c>
    </row>
    <row r="1078" spans="1:256" s="642" customFormat="1" ht="12" customHeight="1" x14ac:dyDescent="0.25">
      <c r="A1078" s="701"/>
      <c r="B1078" s="701"/>
      <c r="C1078" s="746"/>
      <c r="D1078" s="757"/>
      <c r="E1078" s="758"/>
      <c r="F1078" s="759"/>
      <c r="G1078" s="690"/>
      <c r="H1078" s="760"/>
      <c r="I1078" s="690"/>
      <c r="J1078" s="690"/>
      <c r="K1078" s="748"/>
      <c r="L1078" s="748"/>
      <c r="M1078" s="748"/>
      <c r="N1078" s="748"/>
      <c r="O1078" s="748"/>
      <c r="P1078" s="748"/>
      <c r="Q1078" s="656"/>
      <c r="R1078" s="656"/>
      <c r="S1078" s="656"/>
      <c r="T1078" s="656"/>
      <c r="U1078" s="656"/>
      <c r="V1078" s="656"/>
      <c r="W1078" s="656"/>
      <c r="X1078" s="656"/>
      <c r="Y1078" s="656"/>
      <c r="Z1078" s="656"/>
      <c r="AA1078" s="656"/>
      <c r="AB1078" s="656"/>
      <c r="AC1078" s="656"/>
      <c r="AD1078" s="656"/>
      <c r="AE1078" s="656"/>
      <c r="AF1078" s="656"/>
      <c r="AG1078" s="656"/>
      <c r="AH1078" s="656"/>
      <c r="AI1078" s="656"/>
      <c r="AJ1078" s="656"/>
      <c r="AK1078" s="656"/>
      <c r="AL1078" s="656"/>
      <c r="AM1078" s="656"/>
      <c r="AN1078" s="656"/>
      <c r="AO1078" s="656"/>
      <c r="AP1078" s="656"/>
      <c r="AQ1078" s="656"/>
      <c r="AR1078" s="656"/>
      <c r="AS1078" s="656"/>
      <c r="AT1078" s="656"/>
      <c r="AU1078" s="656"/>
      <c r="AV1078" s="656"/>
      <c r="AW1078" s="656"/>
      <c r="AX1078" s="656"/>
      <c r="AY1078" s="656"/>
      <c r="AZ1078" s="656"/>
      <c r="BA1078" s="656"/>
      <c r="BB1078" s="656"/>
      <c r="BC1078" s="656"/>
      <c r="BD1078" s="656"/>
      <c r="BE1078" s="656"/>
      <c r="BF1078" s="656"/>
      <c r="BG1078" s="656"/>
      <c r="BH1078" s="656"/>
      <c r="BI1078" s="656"/>
      <c r="BJ1078" s="656"/>
      <c r="BK1078" s="656"/>
      <c r="BL1078" s="656"/>
      <c r="BM1078" s="656"/>
      <c r="BN1078" s="656"/>
      <c r="BO1078" s="656"/>
      <c r="BP1078" s="656"/>
      <c r="BQ1078" s="656"/>
      <c r="BR1078" s="656"/>
      <c r="BS1078" s="656"/>
      <c r="BT1078" s="656"/>
      <c r="BU1078" s="656"/>
      <c r="BV1078" s="656"/>
      <c r="BW1078" s="656"/>
      <c r="BX1078" s="656"/>
      <c r="BY1078" s="656"/>
      <c r="BZ1078" s="656"/>
      <c r="CA1078" s="656"/>
      <c r="CB1078" s="656"/>
      <c r="CC1078" s="656"/>
      <c r="CD1078" s="656"/>
      <c r="CE1078" s="656"/>
      <c r="CF1078" s="656"/>
      <c r="CG1078" s="656"/>
      <c r="CH1078" s="656"/>
      <c r="CI1078" s="656"/>
      <c r="CJ1078" s="656"/>
      <c r="CK1078" s="656"/>
      <c r="CL1078" s="656"/>
      <c r="CM1078" s="656"/>
      <c r="CN1078" s="656"/>
      <c r="CO1078" s="656"/>
      <c r="CP1078" s="656"/>
      <c r="CQ1078" s="656"/>
      <c r="CR1078" s="656"/>
      <c r="CS1078" s="656"/>
      <c r="CT1078" s="656"/>
      <c r="CU1078" s="656"/>
      <c r="CV1078" s="656"/>
      <c r="CW1078" s="656"/>
      <c r="CX1078" s="656"/>
      <c r="CY1078" s="656"/>
      <c r="CZ1078" s="656"/>
      <c r="DA1078" s="656"/>
      <c r="DB1078" s="656"/>
      <c r="DC1078" s="656"/>
      <c r="DD1078" s="656"/>
      <c r="DE1078" s="656"/>
      <c r="DF1078" s="656"/>
      <c r="DG1078" s="656"/>
      <c r="DH1078" s="656"/>
      <c r="DI1078" s="656"/>
      <c r="DJ1078" s="656"/>
      <c r="DK1078" s="656"/>
      <c r="DL1078" s="656"/>
      <c r="DM1078" s="656"/>
      <c r="DN1078" s="656"/>
      <c r="DO1078" s="656"/>
      <c r="DP1078" s="656"/>
      <c r="DQ1078" s="656"/>
      <c r="DR1078" s="656"/>
      <c r="DS1078" s="656"/>
      <c r="DT1078" s="656"/>
      <c r="DU1078" s="656"/>
      <c r="DV1078" s="656"/>
      <c r="DW1078" s="656"/>
      <c r="DX1078" s="656"/>
      <c r="DY1078" s="656"/>
      <c r="DZ1078" s="656"/>
      <c r="EA1078" s="656"/>
      <c r="EB1078" s="656"/>
      <c r="EC1078" s="656"/>
      <c r="ED1078" s="656"/>
      <c r="EE1078" s="656"/>
      <c r="EF1078" s="656"/>
      <c r="EG1078" s="656"/>
      <c r="EH1078" s="656"/>
      <c r="EI1078" s="656"/>
      <c r="EJ1078" s="656"/>
      <c r="EK1078" s="656"/>
      <c r="EL1078" s="656"/>
      <c r="EM1078" s="656"/>
      <c r="EN1078" s="656"/>
      <c r="EO1078" s="656"/>
      <c r="EP1078" s="656"/>
      <c r="EQ1078" s="656"/>
      <c r="ER1078" s="656"/>
      <c r="ES1078" s="656"/>
      <c r="ET1078" s="656"/>
      <c r="EU1078" s="656"/>
      <c r="EV1078" s="656"/>
      <c r="EW1078" s="656"/>
      <c r="EX1078" s="656"/>
      <c r="EY1078" s="656"/>
      <c r="EZ1078" s="656"/>
      <c r="FA1078" s="656"/>
      <c r="FB1078" s="656"/>
      <c r="FC1078" s="656"/>
      <c r="FD1078" s="656"/>
      <c r="FE1078" s="656"/>
      <c r="FF1078" s="656"/>
      <c r="FG1078" s="656"/>
      <c r="FH1078" s="656"/>
      <c r="FI1078" s="656"/>
      <c r="FJ1078" s="656"/>
      <c r="FK1078" s="656"/>
      <c r="FL1078" s="656"/>
      <c r="FM1078" s="656"/>
      <c r="FN1078" s="656"/>
      <c r="FO1078" s="656"/>
      <c r="FP1078" s="656"/>
      <c r="FQ1078" s="656"/>
      <c r="FR1078" s="656"/>
      <c r="FS1078" s="656"/>
      <c r="FT1078" s="656"/>
      <c r="FU1078" s="656"/>
      <c r="FV1078" s="656"/>
      <c r="FW1078" s="656"/>
      <c r="FX1078" s="656"/>
      <c r="FY1078" s="656"/>
      <c r="FZ1078" s="656"/>
      <c r="GA1078" s="656"/>
      <c r="GB1078" s="656"/>
      <c r="GC1078" s="656"/>
      <c r="GD1078" s="656"/>
      <c r="GE1078" s="656"/>
      <c r="GF1078" s="656"/>
      <c r="GG1078" s="656"/>
      <c r="GH1078" s="656"/>
      <c r="GI1078" s="656"/>
      <c r="GJ1078" s="656"/>
      <c r="GK1078" s="656"/>
      <c r="GL1078" s="656"/>
      <c r="GM1078" s="656"/>
      <c r="GN1078" s="656"/>
      <c r="GO1078" s="656"/>
      <c r="GP1078" s="656"/>
      <c r="GQ1078" s="656"/>
      <c r="GR1078" s="656"/>
      <c r="GS1078" s="656"/>
      <c r="GT1078" s="656"/>
      <c r="GU1078" s="656"/>
      <c r="GV1078" s="656"/>
      <c r="GW1078" s="656"/>
      <c r="GX1078" s="656"/>
      <c r="GY1078" s="656"/>
      <c r="GZ1078" s="656"/>
      <c r="HA1078" s="656"/>
      <c r="HB1078" s="656"/>
      <c r="HC1078" s="656"/>
      <c r="HD1078" s="656"/>
      <c r="HE1078" s="656"/>
      <c r="HF1078" s="656"/>
      <c r="HG1078" s="656"/>
      <c r="HH1078" s="656"/>
      <c r="HI1078" s="656"/>
      <c r="HJ1078" s="656"/>
      <c r="HK1078" s="656"/>
      <c r="HL1078" s="656"/>
      <c r="HM1078" s="656"/>
      <c r="HN1078" s="656"/>
      <c r="HO1078" s="656"/>
      <c r="HP1078" s="656"/>
      <c r="HQ1078" s="656"/>
      <c r="HR1078" s="656"/>
      <c r="HS1078" s="656"/>
      <c r="HT1078" s="656"/>
      <c r="HU1078" s="656"/>
      <c r="HV1078" s="656"/>
      <c r="HW1078" s="656"/>
      <c r="HX1078" s="656"/>
      <c r="HY1078" s="656"/>
      <c r="HZ1078" s="656"/>
      <c r="IA1078" s="656"/>
      <c r="IB1078" s="656"/>
      <c r="IC1078" s="656"/>
      <c r="ID1078" s="656"/>
      <c r="IE1078" s="656"/>
      <c r="IF1078" s="656"/>
      <c r="IG1078" s="656"/>
      <c r="IH1078" s="656"/>
      <c r="II1078" s="656"/>
      <c r="IJ1078" s="656"/>
      <c r="IK1078" s="656"/>
      <c r="IL1078" s="656"/>
      <c r="IM1078" s="656"/>
      <c r="IN1078" s="656"/>
      <c r="IO1078" s="656"/>
      <c r="IP1078" s="656"/>
      <c r="IQ1078" s="656"/>
      <c r="IR1078" s="656"/>
      <c r="IS1078" s="656"/>
      <c r="IT1078" s="656"/>
      <c r="IU1078" s="656"/>
      <c r="IV1078" s="656"/>
    </row>
    <row r="1079" spans="1:256" s="642" customFormat="1" x14ac:dyDescent="0.25">
      <c r="A1079" s="637"/>
      <c r="B1079" s="637"/>
      <c r="C1079" s="637" t="s">
        <v>1780</v>
      </c>
      <c r="D1079" s="639" t="s">
        <v>1781</v>
      </c>
      <c r="E1079" s="637"/>
      <c r="F1079" s="639"/>
      <c r="G1079" s="640"/>
      <c r="H1079" s="639"/>
      <c r="I1079" s="639"/>
      <c r="J1079" s="639"/>
      <c r="K1079" s="639"/>
      <c r="L1079" s="639"/>
      <c r="M1079" s="639"/>
      <c r="N1079" s="639"/>
      <c r="O1079" s="639"/>
      <c r="P1079" s="653">
        <f>SUM(P1081:P1093)</f>
        <v>1072.1875680000001</v>
      </c>
      <c r="Q1079" s="656"/>
      <c r="R1079" s="656"/>
      <c r="S1079" s="656"/>
      <c r="T1079" s="656"/>
      <c r="U1079" s="656"/>
      <c r="V1079" s="656"/>
      <c r="W1079" s="656"/>
      <c r="X1079" s="656"/>
      <c r="Y1079" s="656"/>
      <c r="Z1079" s="656"/>
      <c r="AA1079" s="656"/>
      <c r="AB1079" s="656"/>
      <c r="AC1079" s="656"/>
      <c r="AD1079" s="656"/>
      <c r="AE1079" s="656"/>
      <c r="AF1079" s="656"/>
      <c r="AG1079" s="656"/>
      <c r="AH1079" s="656"/>
      <c r="AI1079" s="656"/>
      <c r="AJ1079" s="656"/>
      <c r="AK1079" s="656"/>
      <c r="AL1079" s="656"/>
      <c r="AM1079" s="656"/>
      <c r="AN1079" s="656"/>
      <c r="AO1079" s="656"/>
      <c r="AP1079" s="656"/>
      <c r="AQ1079" s="656"/>
      <c r="AR1079" s="656"/>
      <c r="AS1079" s="656"/>
      <c r="AT1079" s="656"/>
      <c r="AU1079" s="656"/>
      <c r="AV1079" s="656"/>
      <c r="AW1079" s="656"/>
      <c r="AX1079" s="656"/>
      <c r="AY1079" s="656"/>
      <c r="AZ1079" s="656"/>
      <c r="BA1079" s="656"/>
      <c r="BB1079" s="656"/>
      <c r="BC1079" s="656"/>
      <c r="BD1079" s="656"/>
      <c r="BE1079" s="656"/>
      <c r="BF1079" s="656"/>
      <c r="BG1079" s="656"/>
      <c r="BH1079" s="656"/>
      <c r="BI1079" s="656"/>
      <c r="BJ1079" s="656"/>
      <c r="BK1079" s="656"/>
      <c r="BL1079" s="656"/>
      <c r="BM1079" s="656"/>
      <c r="BN1079" s="656"/>
      <c r="BO1079" s="656"/>
      <c r="BP1079" s="656"/>
      <c r="BQ1079" s="656"/>
      <c r="BR1079" s="656"/>
      <c r="BS1079" s="656"/>
      <c r="BT1079" s="656"/>
      <c r="BU1079" s="656"/>
      <c r="BV1079" s="656"/>
      <c r="BW1079" s="656"/>
      <c r="BX1079" s="656"/>
      <c r="BY1079" s="656"/>
      <c r="BZ1079" s="656"/>
      <c r="CA1079" s="656"/>
      <c r="CB1079" s="656"/>
      <c r="CC1079" s="656"/>
      <c r="CD1079" s="656"/>
      <c r="CE1079" s="656"/>
      <c r="CF1079" s="656"/>
      <c r="CG1079" s="656"/>
      <c r="CH1079" s="656"/>
      <c r="CI1079" s="656"/>
      <c r="CJ1079" s="656"/>
      <c r="CK1079" s="656"/>
      <c r="CL1079" s="656"/>
      <c r="CM1079" s="656"/>
      <c r="CN1079" s="656"/>
      <c r="CO1079" s="656"/>
      <c r="CP1079" s="656"/>
      <c r="CQ1079" s="656"/>
      <c r="CR1079" s="656"/>
      <c r="CS1079" s="656"/>
      <c r="CT1079" s="656"/>
      <c r="CU1079" s="656"/>
      <c r="CV1079" s="656"/>
      <c r="CW1079" s="656"/>
      <c r="CX1079" s="656"/>
      <c r="CY1079" s="656"/>
      <c r="CZ1079" s="656"/>
      <c r="DA1079" s="656"/>
      <c r="DB1079" s="656"/>
      <c r="DC1079" s="656"/>
      <c r="DD1079" s="656"/>
      <c r="DE1079" s="656"/>
      <c r="DF1079" s="656"/>
      <c r="DG1079" s="656"/>
      <c r="DH1079" s="656"/>
      <c r="DI1079" s="656"/>
      <c r="DJ1079" s="656"/>
      <c r="DK1079" s="656"/>
      <c r="DL1079" s="656"/>
      <c r="DM1079" s="656"/>
      <c r="DN1079" s="656"/>
      <c r="DO1079" s="656"/>
      <c r="DP1079" s="656"/>
      <c r="DQ1079" s="656"/>
      <c r="DR1079" s="656"/>
      <c r="DS1079" s="656"/>
      <c r="DT1079" s="656"/>
      <c r="DU1079" s="656"/>
      <c r="DV1079" s="656"/>
      <c r="DW1079" s="656"/>
      <c r="DX1079" s="656"/>
      <c r="DY1079" s="656"/>
      <c r="DZ1079" s="656"/>
      <c r="EA1079" s="656"/>
      <c r="EB1079" s="656"/>
      <c r="EC1079" s="656"/>
      <c r="ED1079" s="656"/>
      <c r="EE1079" s="656"/>
      <c r="EF1079" s="656"/>
      <c r="EG1079" s="656"/>
      <c r="EH1079" s="656"/>
      <c r="EI1079" s="656"/>
      <c r="EJ1079" s="656"/>
      <c r="EK1079" s="656"/>
      <c r="EL1079" s="656"/>
      <c r="EM1079" s="656"/>
      <c r="EN1079" s="656"/>
      <c r="EO1079" s="656"/>
      <c r="EP1079" s="656"/>
      <c r="EQ1079" s="656"/>
      <c r="ER1079" s="656"/>
      <c r="ES1079" s="656"/>
      <c r="ET1079" s="656"/>
      <c r="EU1079" s="656"/>
      <c r="EV1079" s="656"/>
      <c r="EW1079" s="656"/>
      <c r="EX1079" s="656"/>
      <c r="EY1079" s="656"/>
      <c r="EZ1079" s="656"/>
      <c r="FA1079" s="656"/>
      <c r="FB1079" s="656"/>
      <c r="FC1079" s="656"/>
      <c r="FD1079" s="656"/>
      <c r="FE1079" s="656"/>
      <c r="FF1079" s="656"/>
      <c r="FG1079" s="656"/>
      <c r="FH1079" s="656"/>
      <c r="FI1079" s="656"/>
      <c r="FJ1079" s="656"/>
      <c r="FK1079" s="656"/>
      <c r="FL1079" s="656"/>
      <c r="FM1079" s="656"/>
      <c r="FN1079" s="656"/>
      <c r="FO1079" s="656"/>
      <c r="FP1079" s="656"/>
      <c r="FQ1079" s="656"/>
      <c r="FR1079" s="656"/>
      <c r="FS1079" s="656"/>
      <c r="FT1079" s="656"/>
      <c r="FU1079" s="656"/>
      <c r="FV1079" s="656"/>
      <c r="FW1079" s="656"/>
      <c r="FX1079" s="656"/>
      <c r="FY1079" s="656"/>
      <c r="FZ1079" s="656"/>
      <c r="GA1079" s="656"/>
      <c r="GB1079" s="656"/>
      <c r="GC1079" s="656"/>
      <c r="GD1079" s="656"/>
      <c r="GE1079" s="656"/>
      <c r="GF1079" s="656"/>
      <c r="GG1079" s="656"/>
      <c r="GH1079" s="656"/>
      <c r="GI1079" s="656"/>
      <c r="GJ1079" s="656"/>
      <c r="GK1079" s="656"/>
      <c r="GL1079" s="656"/>
      <c r="GM1079" s="656"/>
      <c r="GN1079" s="656"/>
      <c r="GO1079" s="656"/>
      <c r="GP1079" s="656"/>
      <c r="GQ1079" s="656"/>
      <c r="GR1079" s="656"/>
      <c r="GS1079" s="656"/>
      <c r="GT1079" s="656"/>
      <c r="GU1079" s="656"/>
      <c r="GV1079" s="656"/>
      <c r="GW1079" s="656"/>
      <c r="GX1079" s="656"/>
      <c r="GY1079" s="656"/>
      <c r="GZ1079" s="656"/>
      <c r="HA1079" s="656"/>
      <c r="HB1079" s="656"/>
      <c r="HC1079" s="656"/>
      <c r="HD1079" s="656"/>
      <c r="HE1079" s="656"/>
      <c r="HF1079" s="656"/>
      <c r="HG1079" s="656"/>
      <c r="HH1079" s="656"/>
      <c r="HI1079" s="656"/>
      <c r="HJ1079" s="656"/>
      <c r="HK1079" s="656"/>
      <c r="HL1079" s="656"/>
      <c r="HM1079" s="656"/>
      <c r="HN1079" s="656"/>
      <c r="HO1079" s="656"/>
      <c r="HP1079" s="656"/>
      <c r="HQ1079" s="656"/>
      <c r="HR1079" s="656"/>
      <c r="HS1079" s="656"/>
      <c r="HT1079" s="656"/>
      <c r="HU1079" s="656"/>
      <c r="HV1079" s="656"/>
      <c r="HW1079" s="656"/>
      <c r="HX1079" s="656"/>
      <c r="HY1079" s="656"/>
      <c r="HZ1079" s="656"/>
      <c r="IA1079" s="656"/>
      <c r="IB1079" s="656"/>
      <c r="IC1079" s="656"/>
      <c r="ID1079" s="656"/>
      <c r="IE1079" s="656"/>
      <c r="IF1079" s="656"/>
      <c r="IG1079" s="656"/>
      <c r="IH1079" s="656"/>
      <c r="II1079" s="656"/>
      <c r="IJ1079" s="656"/>
      <c r="IK1079" s="656"/>
      <c r="IL1079" s="656"/>
      <c r="IM1079" s="656"/>
      <c r="IN1079" s="656"/>
      <c r="IO1079" s="656"/>
      <c r="IP1079" s="656"/>
      <c r="IQ1079" s="656"/>
      <c r="IR1079" s="656"/>
      <c r="IS1079" s="656"/>
      <c r="IT1079" s="656"/>
      <c r="IU1079" s="656"/>
      <c r="IV1079" s="656"/>
    </row>
    <row r="1080" spans="1:256" s="708" customFormat="1" ht="9" customHeight="1" x14ac:dyDescent="0.25">
      <c r="A1080" s="634"/>
      <c r="B1080" s="634"/>
      <c r="C1080" s="634"/>
      <c r="D1080" s="635"/>
      <c r="E1080" s="634"/>
      <c r="F1080" s="635"/>
      <c r="G1080" s="722"/>
      <c r="H1080" s="635"/>
      <c r="I1080" s="635"/>
      <c r="J1080" s="635"/>
      <c r="K1080" s="635"/>
      <c r="L1080" s="635"/>
      <c r="M1080" s="635"/>
      <c r="N1080" s="635"/>
      <c r="O1080" s="635" t="s">
        <v>1207</v>
      </c>
      <c r="P1080" s="635"/>
      <c r="Q1080" s="755"/>
      <c r="R1080" s="755"/>
      <c r="S1080" s="755"/>
      <c r="T1080" s="755"/>
      <c r="U1080" s="755"/>
      <c r="V1080" s="755"/>
      <c r="W1080" s="755"/>
      <c r="X1080" s="755"/>
      <c r="Y1080" s="755"/>
      <c r="Z1080" s="755"/>
      <c r="AA1080" s="755"/>
      <c r="AB1080" s="755"/>
      <c r="AC1080" s="755"/>
      <c r="AD1080" s="755"/>
      <c r="AE1080" s="755"/>
      <c r="AF1080" s="755"/>
      <c r="AG1080" s="755"/>
      <c r="AH1080" s="755"/>
      <c r="AI1080" s="755"/>
      <c r="AJ1080" s="755"/>
      <c r="AK1080" s="755"/>
      <c r="AL1080" s="755"/>
      <c r="AM1080" s="755"/>
      <c r="AN1080" s="755"/>
      <c r="AO1080" s="755"/>
      <c r="AP1080" s="755"/>
      <c r="AQ1080" s="755"/>
      <c r="AR1080" s="755"/>
      <c r="AS1080" s="755"/>
      <c r="AT1080" s="755"/>
      <c r="AU1080" s="755"/>
      <c r="AV1080" s="755"/>
      <c r="AW1080" s="755"/>
      <c r="AX1080" s="755"/>
      <c r="AY1080" s="755"/>
      <c r="AZ1080" s="755"/>
      <c r="BA1080" s="755"/>
      <c r="BB1080" s="755"/>
      <c r="BC1080" s="755"/>
      <c r="BD1080" s="755"/>
      <c r="BE1080" s="755"/>
      <c r="BF1080" s="755"/>
      <c r="BG1080" s="755"/>
      <c r="BH1080" s="755"/>
      <c r="BI1080" s="755"/>
      <c r="BJ1080" s="755"/>
      <c r="BK1080" s="755"/>
      <c r="BL1080" s="755"/>
      <c r="BM1080" s="755"/>
      <c r="BN1080" s="755"/>
      <c r="BO1080" s="755"/>
      <c r="BP1080" s="755"/>
      <c r="BQ1080" s="755"/>
      <c r="BR1080" s="755"/>
      <c r="BS1080" s="755"/>
      <c r="BT1080" s="755"/>
      <c r="BU1080" s="755"/>
      <c r="BV1080" s="755"/>
      <c r="BW1080" s="755"/>
      <c r="BX1080" s="755"/>
      <c r="BY1080" s="755"/>
      <c r="BZ1080" s="755"/>
      <c r="CA1080" s="755"/>
      <c r="CB1080" s="755"/>
      <c r="CC1080" s="755"/>
      <c r="CD1080" s="755"/>
      <c r="CE1080" s="755"/>
      <c r="CF1080" s="755"/>
      <c r="CG1080" s="755"/>
      <c r="CH1080" s="755"/>
      <c r="CI1080" s="755"/>
      <c r="CJ1080" s="755"/>
      <c r="CK1080" s="755"/>
      <c r="CL1080" s="755"/>
      <c r="CM1080" s="755"/>
      <c r="CN1080" s="755"/>
      <c r="CO1080" s="755"/>
      <c r="CP1080" s="755"/>
      <c r="CQ1080" s="755"/>
      <c r="CR1080" s="755"/>
      <c r="CS1080" s="755"/>
      <c r="CT1080" s="755"/>
      <c r="CU1080" s="755"/>
      <c r="CV1080" s="755"/>
      <c r="CW1080" s="755"/>
      <c r="CX1080" s="755"/>
      <c r="CY1080" s="755"/>
      <c r="CZ1080" s="755"/>
      <c r="DA1080" s="755"/>
      <c r="DB1080" s="755"/>
      <c r="DC1080" s="755"/>
      <c r="DD1080" s="755"/>
      <c r="DE1080" s="755"/>
      <c r="DF1080" s="755"/>
      <c r="DG1080" s="755"/>
      <c r="DH1080" s="755"/>
      <c r="DI1080" s="755"/>
      <c r="DJ1080" s="755"/>
      <c r="DK1080" s="755"/>
      <c r="DL1080" s="755"/>
      <c r="DM1080" s="755"/>
      <c r="DN1080" s="755"/>
      <c r="DO1080" s="755"/>
      <c r="DP1080" s="755"/>
      <c r="DQ1080" s="755"/>
      <c r="DR1080" s="755"/>
      <c r="DS1080" s="755"/>
      <c r="DT1080" s="755"/>
      <c r="DU1080" s="755"/>
      <c r="DV1080" s="755"/>
      <c r="DW1080" s="755"/>
      <c r="DX1080" s="755"/>
      <c r="DY1080" s="755"/>
      <c r="DZ1080" s="755"/>
      <c r="EA1080" s="755"/>
      <c r="EB1080" s="755"/>
      <c r="EC1080" s="755"/>
      <c r="ED1080" s="755"/>
      <c r="EE1080" s="755"/>
      <c r="EF1080" s="755"/>
      <c r="EG1080" s="755"/>
      <c r="EH1080" s="755"/>
      <c r="EI1080" s="755"/>
      <c r="EJ1080" s="755"/>
      <c r="EK1080" s="755"/>
      <c r="EL1080" s="755"/>
      <c r="EM1080" s="755"/>
      <c r="EN1080" s="755"/>
      <c r="EO1080" s="755"/>
      <c r="EP1080" s="755"/>
      <c r="EQ1080" s="755"/>
      <c r="ER1080" s="755"/>
      <c r="ES1080" s="755"/>
      <c r="ET1080" s="755"/>
      <c r="EU1080" s="755"/>
      <c r="EV1080" s="755"/>
      <c r="EW1080" s="755"/>
      <c r="EX1080" s="755"/>
      <c r="EY1080" s="755"/>
      <c r="EZ1080" s="755"/>
      <c r="FA1080" s="755"/>
      <c r="FB1080" s="755"/>
      <c r="FC1080" s="755"/>
      <c r="FD1080" s="755"/>
      <c r="FE1080" s="755"/>
      <c r="FF1080" s="755"/>
      <c r="FG1080" s="755"/>
      <c r="FH1080" s="755"/>
      <c r="FI1080" s="755"/>
      <c r="FJ1080" s="755"/>
      <c r="FK1080" s="755"/>
      <c r="FL1080" s="755"/>
      <c r="FM1080" s="755"/>
      <c r="FN1080" s="755"/>
      <c r="FO1080" s="755"/>
      <c r="FP1080" s="755"/>
      <c r="FQ1080" s="755"/>
      <c r="FR1080" s="755"/>
      <c r="FS1080" s="755"/>
      <c r="FT1080" s="755"/>
      <c r="FU1080" s="755"/>
      <c r="FV1080" s="755"/>
      <c r="FW1080" s="755"/>
      <c r="FX1080" s="755"/>
      <c r="FY1080" s="755"/>
      <c r="FZ1080" s="755"/>
      <c r="GA1080" s="755"/>
      <c r="GB1080" s="755"/>
      <c r="GC1080" s="755"/>
      <c r="GD1080" s="755"/>
      <c r="GE1080" s="755"/>
      <c r="GF1080" s="755"/>
      <c r="GG1080" s="755"/>
      <c r="GH1080" s="755"/>
      <c r="GI1080" s="755"/>
      <c r="GJ1080" s="755"/>
      <c r="GK1080" s="755"/>
      <c r="GL1080" s="755"/>
      <c r="GM1080" s="755"/>
      <c r="GN1080" s="755"/>
      <c r="GO1080" s="755"/>
      <c r="GP1080" s="755"/>
      <c r="GQ1080" s="755"/>
      <c r="GR1080" s="755"/>
      <c r="GS1080" s="755"/>
      <c r="GT1080" s="755"/>
      <c r="GU1080" s="755"/>
      <c r="GV1080" s="755"/>
      <c r="GW1080" s="755"/>
      <c r="GX1080" s="755"/>
      <c r="GY1080" s="755"/>
      <c r="GZ1080" s="755"/>
      <c r="HA1080" s="755"/>
      <c r="HB1080" s="755"/>
      <c r="HC1080" s="755"/>
      <c r="HD1080" s="755"/>
      <c r="HE1080" s="755"/>
      <c r="HF1080" s="755"/>
      <c r="HG1080" s="755"/>
      <c r="HH1080" s="755"/>
      <c r="HI1080" s="755"/>
      <c r="HJ1080" s="755"/>
      <c r="HK1080" s="755"/>
      <c r="HL1080" s="755"/>
      <c r="HM1080" s="755"/>
      <c r="HN1080" s="755"/>
      <c r="HO1080" s="755"/>
      <c r="HP1080" s="755"/>
      <c r="HQ1080" s="755"/>
      <c r="HR1080" s="755"/>
      <c r="HS1080" s="755"/>
      <c r="HT1080" s="755"/>
      <c r="HU1080" s="755"/>
      <c r="HV1080" s="755"/>
      <c r="HW1080" s="755"/>
      <c r="HX1080" s="755"/>
      <c r="HY1080" s="755"/>
      <c r="HZ1080" s="755"/>
      <c r="IA1080" s="755"/>
      <c r="IB1080" s="755"/>
      <c r="IC1080" s="755"/>
      <c r="ID1080" s="755"/>
      <c r="IE1080" s="755"/>
      <c r="IF1080" s="755"/>
      <c r="IG1080" s="755"/>
      <c r="IH1080" s="755"/>
      <c r="II1080" s="755"/>
      <c r="IJ1080" s="755"/>
      <c r="IK1080" s="755"/>
      <c r="IL1080" s="755"/>
      <c r="IM1080" s="755"/>
      <c r="IN1080" s="755"/>
      <c r="IO1080" s="755"/>
      <c r="IP1080" s="755"/>
      <c r="IQ1080" s="755"/>
      <c r="IR1080" s="755"/>
      <c r="IS1080" s="755"/>
      <c r="IT1080" s="755"/>
      <c r="IU1080" s="755"/>
      <c r="IV1080" s="755"/>
    </row>
    <row r="1081" spans="1:256" s="708" customFormat="1" x14ac:dyDescent="0.25">
      <c r="A1081" s="662"/>
      <c r="B1081" s="662"/>
      <c r="C1081" s="663" t="s">
        <v>1782</v>
      </c>
      <c r="D1081" s="630" t="s">
        <v>1783</v>
      </c>
      <c r="E1081" s="631" t="s">
        <v>251</v>
      </c>
      <c r="F1081" s="632"/>
      <c r="G1081" s="664"/>
      <c r="H1081" s="632">
        <v>4</v>
      </c>
      <c r="I1081" s="677">
        <f>SUM(I1082:I1084)</f>
        <v>88</v>
      </c>
      <c r="J1081" s="677">
        <f>SUM(J1082:J1084)</f>
        <v>14.44</v>
      </c>
      <c r="K1081" s="677">
        <f>I1081+J1081</f>
        <v>102.44</v>
      </c>
      <c r="L1081" s="622">
        <f>H1081*I1081</f>
        <v>352</v>
      </c>
      <c r="M1081" s="622">
        <f>H1081*J1081</f>
        <v>57.76</v>
      </c>
      <c r="N1081" s="622">
        <f>L1081+M1081</f>
        <v>409.76</v>
      </c>
      <c r="O1081" s="622">
        <f>N1081*$P$4</f>
        <v>100.637056</v>
      </c>
      <c r="P1081" s="622">
        <f>N1081+O1081</f>
        <v>510.39705600000002</v>
      </c>
      <c r="Q1081" s="609"/>
      <c r="R1081" s="609"/>
      <c r="S1081" s="609"/>
      <c r="T1081" s="609"/>
      <c r="U1081" s="609"/>
      <c r="V1081" s="609"/>
      <c r="W1081" s="609"/>
      <c r="X1081" s="609"/>
      <c r="Y1081" s="609"/>
      <c r="Z1081" s="609"/>
      <c r="AA1081" s="609"/>
      <c r="AB1081" s="609"/>
      <c r="AC1081" s="609"/>
      <c r="AD1081" s="609"/>
      <c r="AE1081" s="609"/>
      <c r="AF1081" s="609"/>
      <c r="AG1081" s="609"/>
      <c r="AH1081" s="609"/>
      <c r="AI1081" s="609"/>
      <c r="AJ1081" s="609"/>
      <c r="AK1081" s="609"/>
      <c r="AL1081" s="609"/>
      <c r="AM1081" s="609"/>
      <c r="AN1081" s="609"/>
      <c r="AO1081" s="609"/>
      <c r="AP1081" s="609"/>
      <c r="AQ1081" s="609"/>
      <c r="AR1081" s="609"/>
      <c r="AS1081" s="609"/>
      <c r="AT1081" s="609"/>
      <c r="AU1081" s="609"/>
      <c r="AV1081" s="609"/>
      <c r="AW1081" s="609"/>
      <c r="AX1081" s="609"/>
      <c r="AY1081" s="609"/>
      <c r="AZ1081" s="609"/>
      <c r="BA1081" s="609"/>
      <c r="BB1081" s="609"/>
      <c r="BC1081" s="609"/>
      <c r="BD1081" s="609"/>
      <c r="BE1081" s="609"/>
      <c r="BF1081" s="609"/>
      <c r="BG1081" s="609"/>
      <c r="BH1081" s="609"/>
      <c r="BI1081" s="609"/>
      <c r="BJ1081" s="609"/>
      <c r="BK1081" s="609"/>
      <c r="BL1081" s="609"/>
      <c r="BM1081" s="609"/>
      <c r="BN1081" s="609"/>
      <c r="BO1081" s="609"/>
      <c r="BP1081" s="609"/>
      <c r="BQ1081" s="609"/>
      <c r="BR1081" s="609"/>
      <c r="BS1081" s="609"/>
      <c r="BT1081" s="609"/>
      <c r="BU1081" s="609"/>
      <c r="BV1081" s="609"/>
      <c r="BW1081" s="609"/>
      <c r="BX1081" s="609"/>
      <c r="BY1081" s="609"/>
      <c r="BZ1081" s="609"/>
      <c r="CA1081" s="609"/>
      <c r="CB1081" s="609"/>
      <c r="CC1081" s="609"/>
      <c r="CD1081" s="609"/>
      <c r="CE1081" s="609"/>
      <c r="CF1081" s="609"/>
      <c r="CG1081" s="609"/>
      <c r="CH1081" s="609"/>
      <c r="CI1081" s="609"/>
      <c r="CJ1081" s="609"/>
      <c r="CK1081" s="609"/>
      <c r="CL1081" s="609"/>
      <c r="CM1081" s="609"/>
      <c r="CN1081" s="609"/>
      <c r="CO1081" s="609"/>
      <c r="CP1081" s="609"/>
      <c r="CQ1081" s="609"/>
      <c r="CR1081" s="609"/>
      <c r="CS1081" s="609"/>
      <c r="CT1081" s="609"/>
      <c r="CU1081" s="609"/>
      <c r="CV1081" s="609"/>
      <c r="CW1081" s="609"/>
      <c r="CX1081" s="609"/>
      <c r="CY1081" s="609"/>
      <c r="CZ1081" s="609"/>
      <c r="DA1081" s="609"/>
      <c r="DB1081" s="609"/>
      <c r="DC1081" s="609"/>
      <c r="DD1081" s="609"/>
      <c r="DE1081" s="609"/>
      <c r="DF1081" s="609"/>
      <c r="DG1081" s="609"/>
      <c r="DH1081" s="609"/>
      <c r="DI1081" s="609"/>
      <c r="DJ1081" s="609"/>
      <c r="DK1081" s="609"/>
      <c r="DL1081" s="609"/>
      <c r="DM1081" s="609"/>
      <c r="DN1081" s="609"/>
      <c r="DO1081" s="609"/>
      <c r="DP1081" s="609"/>
      <c r="DQ1081" s="609"/>
      <c r="DR1081" s="609"/>
      <c r="DS1081" s="609"/>
      <c r="DT1081" s="609"/>
      <c r="DU1081" s="609"/>
      <c r="DV1081" s="609"/>
      <c r="DW1081" s="609"/>
      <c r="DX1081" s="609"/>
      <c r="DY1081" s="609"/>
      <c r="DZ1081" s="609"/>
      <c r="EA1081" s="609"/>
      <c r="EB1081" s="609"/>
      <c r="EC1081" s="609"/>
      <c r="ED1081" s="609"/>
      <c r="EE1081" s="609"/>
      <c r="EF1081" s="609"/>
      <c r="EG1081" s="609"/>
      <c r="EH1081" s="609"/>
      <c r="EI1081" s="609"/>
      <c r="EJ1081" s="609"/>
      <c r="EK1081" s="609"/>
      <c r="EL1081" s="609"/>
      <c r="EM1081" s="609"/>
      <c r="EN1081" s="609"/>
      <c r="EO1081" s="609"/>
      <c r="EP1081" s="609"/>
      <c r="EQ1081" s="609"/>
      <c r="ER1081" s="609"/>
      <c r="ES1081" s="609"/>
      <c r="ET1081" s="609"/>
      <c r="EU1081" s="609"/>
      <c r="EV1081" s="609"/>
      <c r="EW1081" s="609"/>
      <c r="EX1081" s="609"/>
      <c r="EY1081" s="609"/>
      <c r="EZ1081" s="609"/>
      <c r="FA1081" s="609"/>
      <c r="FB1081" s="609"/>
      <c r="FC1081" s="609"/>
      <c r="FD1081" s="609"/>
      <c r="FE1081" s="609"/>
      <c r="FF1081" s="609"/>
      <c r="FG1081" s="609"/>
      <c r="FH1081" s="609"/>
      <c r="FI1081" s="609"/>
      <c r="FJ1081" s="609"/>
      <c r="FK1081" s="609"/>
      <c r="FL1081" s="609"/>
      <c r="FM1081" s="609"/>
      <c r="FN1081" s="609"/>
      <c r="FO1081" s="609"/>
      <c r="FP1081" s="609"/>
      <c r="FQ1081" s="609"/>
      <c r="FR1081" s="609"/>
      <c r="FS1081" s="609"/>
      <c r="FT1081" s="609"/>
      <c r="FU1081" s="609"/>
      <c r="FV1081" s="609"/>
      <c r="FW1081" s="609"/>
      <c r="FX1081" s="609"/>
      <c r="FY1081" s="609"/>
      <c r="FZ1081" s="609"/>
      <c r="GA1081" s="609"/>
      <c r="GB1081" s="609"/>
      <c r="GC1081" s="609"/>
      <c r="GD1081" s="609"/>
      <c r="GE1081" s="609"/>
      <c r="GF1081" s="609"/>
      <c r="GG1081" s="609"/>
      <c r="GH1081" s="609"/>
      <c r="GI1081" s="609"/>
      <c r="GJ1081" s="609"/>
      <c r="GK1081" s="609"/>
      <c r="GL1081" s="609"/>
      <c r="GM1081" s="609"/>
      <c r="GN1081" s="609"/>
      <c r="GO1081" s="609"/>
      <c r="GP1081" s="609"/>
      <c r="GQ1081" s="609"/>
      <c r="GR1081" s="609"/>
      <c r="GS1081" s="609"/>
      <c r="GT1081" s="609"/>
      <c r="GU1081" s="609"/>
      <c r="GV1081" s="609"/>
      <c r="GW1081" s="609"/>
      <c r="GX1081" s="609"/>
      <c r="GY1081" s="609"/>
      <c r="GZ1081" s="609"/>
      <c r="HA1081" s="609"/>
      <c r="HB1081" s="609"/>
      <c r="HC1081" s="609"/>
      <c r="HD1081" s="609"/>
      <c r="HE1081" s="609"/>
      <c r="HF1081" s="609"/>
      <c r="HG1081" s="609"/>
      <c r="HH1081" s="609"/>
      <c r="HI1081" s="609"/>
      <c r="HJ1081" s="609"/>
      <c r="HK1081" s="609"/>
      <c r="HL1081" s="609"/>
      <c r="HM1081" s="609"/>
      <c r="HN1081" s="609"/>
      <c r="HO1081" s="609"/>
      <c r="HP1081" s="609"/>
      <c r="HQ1081" s="609"/>
      <c r="HR1081" s="609"/>
      <c r="HS1081" s="609"/>
      <c r="HT1081" s="609"/>
      <c r="HU1081" s="609"/>
      <c r="HV1081" s="609"/>
      <c r="HW1081" s="609"/>
      <c r="HX1081" s="609"/>
      <c r="HY1081" s="609"/>
      <c r="HZ1081" s="609"/>
      <c r="IA1081" s="609"/>
      <c r="IB1081" s="609"/>
      <c r="IC1081" s="609"/>
      <c r="ID1081" s="609"/>
      <c r="IE1081" s="609"/>
      <c r="IF1081" s="609"/>
      <c r="IG1081" s="609"/>
      <c r="IH1081" s="609"/>
      <c r="II1081" s="609"/>
      <c r="IJ1081" s="609"/>
      <c r="IK1081" s="609"/>
      <c r="IL1081" s="609"/>
      <c r="IM1081" s="609"/>
      <c r="IN1081" s="609"/>
      <c r="IO1081" s="609"/>
      <c r="IP1081" s="609"/>
      <c r="IQ1081" s="609"/>
      <c r="IR1081" s="609"/>
      <c r="IS1081" s="609"/>
      <c r="IT1081" s="609"/>
      <c r="IU1081" s="609"/>
      <c r="IV1081" s="609"/>
    </row>
    <row r="1082" spans="1:256" s="708" customFormat="1" ht="36" x14ac:dyDescent="0.25">
      <c r="A1082" s="634" t="s">
        <v>1705</v>
      </c>
      <c r="B1082" s="679"/>
      <c r="C1082" s="634"/>
      <c r="D1082" s="693" t="s">
        <v>1784</v>
      </c>
      <c r="E1082" s="634" t="s">
        <v>251</v>
      </c>
      <c r="F1082" s="635">
        <v>1</v>
      </c>
      <c r="G1082" s="681">
        <v>88</v>
      </c>
      <c r="H1082" s="635"/>
      <c r="I1082" s="691">
        <f>ROUND(F1082*G1082,2)</f>
        <v>88</v>
      </c>
      <c r="J1082" s="691"/>
      <c r="K1082" s="691"/>
      <c r="L1082" s="691" t="s">
        <v>1207</v>
      </c>
      <c r="M1082" s="691"/>
      <c r="N1082" s="691"/>
      <c r="O1082" s="691"/>
      <c r="P1082" s="691"/>
      <c r="Q1082" s="609"/>
      <c r="R1082" s="609"/>
      <c r="S1082" s="609"/>
      <c r="T1082" s="609"/>
      <c r="U1082" s="609"/>
      <c r="V1082" s="609"/>
      <c r="W1082" s="609"/>
      <c r="X1082" s="609"/>
      <c r="Y1082" s="609"/>
      <c r="Z1082" s="609"/>
      <c r="AA1082" s="609"/>
      <c r="AB1082" s="609"/>
      <c r="AC1082" s="609"/>
      <c r="AD1082" s="609"/>
      <c r="AE1082" s="609"/>
      <c r="AF1082" s="609"/>
      <c r="AG1082" s="609"/>
      <c r="AH1082" s="609"/>
      <c r="AI1082" s="609"/>
      <c r="AJ1082" s="609"/>
      <c r="AK1082" s="609"/>
      <c r="AL1082" s="609"/>
      <c r="AM1082" s="609"/>
      <c r="AN1082" s="609"/>
      <c r="AO1082" s="609"/>
      <c r="AP1082" s="609"/>
      <c r="AQ1082" s="609"/>
      <c r="AR1082" s="609"/>
      <c r="AS1082" s="609"/>
      <c r="AT1082" s="609"/>
      <c r="AU1082" s="609"/>
      <c r="AV1082" s="609"/>
      <c r="AW1082" s="609"/>
      <c r="AX1082" s="609"/>
      <c r="AY1082" s="609"/>
      <c r="AZ1082" s="609"/>
      <c r="BA1082" s="609"/>
      <c r="BB1082" s="609"/>
      <c r="BC1082" s="609"/>
      <c r="BD1082" s="609"/>
      <c r="BE1082" s="609"/>
      <c r="BF1082" s="609"/>
      <c r="BG1082" s="609"/>
      <c r="BH1082" s="609"/>
      <c r="BI1082" s="609"/>
      <c r="BJ1082" s="609"/>
      <c r="BK1082" s="609"/>
      <c r="BL1082" s="609"/>
      <c r="BM1082" s="609"/>
      <c r="BN1082" s="609"/>
      <c r="BO1082" s="609"/>
      <c r="BP1082" s="609"/>
      <c r="BQ1082" s="609"/>
      <c r="BR1082" s="609"/>
      <c r="BS1082" s="609"/>
      <c r="BT1082" s="609"/>
      <c r="BU1082" s="609"/>
      <c r="BV1082" s="609"/>
      <c r="BW1082" s="609"/>
      <c r="BX1082" s="609"/>
      <c r="BY1082" s="609"/>
      <c r="BZ1082" s="609"/>
      <c r="CA1082" s="609"/>
      <c r="CB1082" s="609"/>
      <c r="CC1082" s="609"/>
      <c r="CD1082" s="609"/>
      <c r="CE1082" s="609"/>
      <c r="CF1082" s="609"/>
      <c r="CG1082" s="609"/>
      <c r="CH1082" s="609"/>
      <c r="CI1082" s="609"/>
      <c r="CJ1082" s="609"/>
      <c r="CK1082" s="609"/>
      <c r="CL1082" s="609"/>
      <c r="CM1082" s="609"/>
      <c r="CN1082" s="609"/>
      <c r="CO1082" s="609"/>
      <c r="CP1082" s="609"/>
      <c r="CQ1082" s="609"/>
      <c r="CR1082" s="609"/>
      <c r="CS1082" s="609"/>
      <c r="CT1082" s="609"/>
      <c r="CU1082" s="609"/>
      <c r="CV1082" s="609"/>
      <c r="CW1082" s="609"/>
      <c r="CX1082" s="609"/>
      <c r="CY1082" s="609"/>
      <c r="CZ1082" s="609"/>
      <c r="DA1082" s="609"/>
      <c r="DB1082" s="609"/>
      <c r="DC1082" s="609"/>
      <c r="DD1082" s="609"/>
      <c r="DE1082" s="609"/>
      <c r="DF1082" s="609"/>
      <c r="DG1082" s="609"/>
      <c r="DH1082" s="609"/>
      <c r="DI1082" s="609"/>
      <c r="DJ1082" s="609"/>
      <c r="DK1082" s="609"/>
      <c r="DL1082" s="609"/>
      <c r="DM1082" s="609"/>
      <c r="DN1082" s="609"/>
      <c r="DO1082" s="609"/>
      <c r="DP1082" s="609"/>
      <c r="DQ1082" s="609"/>
      <c r="DR1082" s="609"/>
      <c r="DS1082" s="609"/>
      <c r="DT1082" s="609"/>
      <c r="DU1082" s="609"/>
      <c r="DV1082" s="609"/>
      <c r="DW1082" s="609"/>
      <c r="DX1082" s="609"/>
      <c r="DY1082" s="609"/>
      <c r="DZ1082" s="609"/>
      <c r="EA1082" s="609"/>
      <c r="EB1082" s="609"/>
      <c r="EC1082" s="609"/>
      <c r="ED1082" s="609"/>
      <c r="EE1082" s="609"/>
      <c r="EF1082" s="609"/>
      <c r="EG1082" s="609"/>
      <c r="EH1082" s="609"/>
      <c r="EI1082" s="609"/>
      <c r="EJ1082" s="609"/>
      <c r="EK1082" s="609"/>
      <c r="EL1082" s="609"/>
      <c r="EM1082" s="609"/>
      <c r="EN1082" s="609"/>
      <c r="EO1082" s="609"/>
      <c r="EP1082" s="609"/>
      <c r="EQ1082" s="609"/>
      <c r="ER1082" s="609"/>
      <c r="ES1082" s="609"/>
      <c r="ET1082" s="609"/>
      <c r="EU1082" s="609"/>
      <c r="EV1082" s="609"/>
      <c r="EW1082" s="609"/>
      <c r="EX1082" s="609"/>
      <c r="EY1082" s="609"/>
      <c r="EZ1082" s="609"/>
      <c r="FA1082" s="609"/>
      <c r="FB1082" s="609"/>
      <c r="FC1082" s="609"/>
      <c r="FD1082" s="609"/>
      <c r="FE1082" s="609"/>
      <c r="FF1082" s="609"/>
      <c r="FG1082" s="609"/>
      <c r="FH1082" s="609"/>
      <c r="FI1082" s="609"/>
      <c r="FJ1082" s="609"/>
      <c r="FK1082" s="609"/>
      <c r="FL1082" s="609"/>
      <c r="FM1082" s="609"/>
      <c r="FN1082" s="609"/>
      <c r="FO1082" s="609"/>
      <c r="FP1082" s="609"/>
      <c r="FQ1082" s="609"/>
      <c r="FR1082" s="609"/>
      <c r="FS1082" s="609"/>
      <c r="FT1082" s="609"/>
      <c r="FU1082" s="609"/>
      <c r="FV1082" s="609"/>
      <c r="FW1082" s="609"/>
      <c r="FX1082" s="609"/>
      <c r="FY1082" s="609"/>
      <c r="FZ1082" s="609"/>
      <c r="GA1082" s="609"/>
      <c r="GB1082" s="609"/>
      <c r="GC1082" s="609"/>
      <c r="GD1082" s="609"/>
      <c r="GE1082" s="609"/>
      <c r="GF1082" s="609"/>
      <c r="GG1082" s="609"/>
      <c r="GH1082" s="609"/>
      <c r="GI1082" s="609"/>
      <c r="GJ1082" s="609"/>
      <c r="GK1082" s="609"/>
      <c r="GL1082" s="609"/>
      <c r="GM1082" s="609"/>
      <c r="GN1082" s="609"/>
      <c r="GO1082" s="609"/>
      <c r="GP1082" s="609"/>
      <c r="GQ1082" s="609"/>
      <c r="GR1082" s="609"/>
      <c r="GS1082" s="609"/>
      <c r="GT1082" s="609"/>
      <c r="GU1082" s="609"/>
      <c r="GV1082" s="609"/>
      <c r="GW1082" s="609"/>
      <c r="GX1082" s="609"/>
      <c r="GY1082" s="609"/>
      <c r="GZ1082" s="609"/>
      <c r="HA1082" s="609"/>
      <c r="HB1082" s="609"/>
      <c r="HC1082" s="609"/>
      <c r="HD1082" s="609"/>
      <c r="HE1082" s="609"/>
      <c r="HF1082" s="609"/>
      <c r="HG1082" s="609"/>
      <c r="HH1082" s="609"/>
      <c r="HI1082" s="609"/>
      <c r="HJ1082" s="609"/>
      <c r="HK1082" s="609"/>
      <c r="HL1082" s="609"/>
      <c r="HM1082" s="609"/>
      <c r="HN1082" s="609"/>
      <c r="HO1082" s="609"/>
      <c r="HP1082" s="609"/>
      <c r="HQ1082" s="609"/>
      <c r="HR1082" s="609"/>
      <c r="HS1082" s="609"/>
      <c r="HT1082" s="609"/>
      <c r="HU1082" s="609"/>
      <c r="HV1082" s="609"/>
      <c r="HW1082" s="609"/>
      <c r="HX1082" s="609"/>
      <c r="HY1082" s="609"/>
      <c r="HZ1082" s="609"/>
      <c r="IA1082" s="609"/>
      <c r="IB1082" s="609"/>
      <c r="IC1082" s="609"/>
      <c r="ID1082" s="609"/>
      <c r="IE1082" s="609"/>
      <c r="IF1082" s="609"/>
      <c r="IG1082" s="609"/>
      <c r="IH1082" s="609"/>
      <c r="II1082" s="609"/>
      <c r="IJ1082" s="609"/>
      <c r="IK1082" s="609"/>
      <c r="IL1082" s="609"/>
      <c r="IM1082" s="609"/>
      <c r="IN1082" s="609"/>
      <c r="IO1082" s="609"/>
      <c r="IP1082" s="609"/>
      <c r="IQ1082" s="609"/>
      <c r="IR1082" s="609"/>
      <c r="IS1082" s="609"/>
      <c r="IT1082" s="609"/>
      <c r="IU1082" s="609"/>
      <c r="IV1082" s="609"/>
    </row>
    <row r="1083" spans="1:256" s="708" customFormat="1" x14ac:dyDescent="0.25">
      <c r="A1083" s="634" t="s">
        <v>277</v>
      </c>
      <c r="B1083" s="634">
        <v>2436</v>
      </c>
      <c r="C1083" s="634"/>
      <c r="D1083" s="635" t="s">
        <v>1069</v>
      </c>
      <c r="E1083" s="634" t="s">
        <v>229</v>
      </c>
      <c r="F1083" s="635">
        <v>0.65</v>
      </c>
      <c r="G1083" s="681">
        <v>12.57</v>
      </c>
      <c r="H1083" s="635"/>
      <c r="I1083" s="691"/>
      <c r="J1083" s="691">
        <f>ROUND(F1083*G1083,2)</f>
        <v>8.17</v>
      </c>
      <c r="K1083" s="691"/>
      <c r="L1083" s="691"/>
      <c r="M1083" s="691"/>
      <c r="N1083" s="691"/>
      <c r="O1083" s="691"/>
      <c r="P1083" s="691"/>
      <c r="Q1083" s="609"/>
      <c r="R1083" s="609"/>
      <c r="S1083" s="609"/>
      <c r="T1083" s="609"/>
      <c r="U1083" s="609"/>
      <c r="V1083" s="609"/>
      <c r="W1083" s="609"/>
      <c r="X1083" s="609"/>
      <c r="Y1083" s="609"/>
      <c r="Z1083" s="609"/>
      <c r="AA1083" s="609"/>
      <c r="AB1083" s="609"/>
      <c r="AC1083" s="609"/>
      <c r="AD1083" s="609"/>
      <c r="AE1083" s="609"/>
      <c r="AF1083" s="609"/>
      <c r="AG1083" s="609"/>
      <c r="AH1083" s="609"/>
      <c r="AI1083" s="609"/>
      <c r="AJ1083" s="609"/>
      <c r="AK1083" s="609"/>
      <c r="AL1083" s="609"/>
      <c r="AM1083" s="609"/>
      <c r="AN1083" s="609"/>
      <c r="AO1083" s="609"/>
      <c r="AP1083" s="609"/>
      <c r="AQ1083" s="609"/>
      <c r="AR1083" s="609"/>
      <c r="AS1083" s="609"/>
      <c r="AT1083" s="609"/>
      <c r="AU1083" s="609"/>
      <c r="AV1083" s="609"/>
      <c r="AW1083" s="609"/>
      <c r="AX1083" s="609"/>
      <c r="AY1083" s="609"/>
      <c r="AZ1083" s="609"/>
      <c r="BA1083" s="609"/>
      <c r="BB1083" s="609"/>
      <c r="BC1083" s="609"/>
      <c r="BD1083" s="609"/>
      <c r="BE1083" s="609"/>
      <c r="BF1083" s="609"/>
      <c r="BG1083" s="609"/>
      <c r="BH1083" s="609"/>
      <c r="BI1083" s="609"/>
      <c r="BJ1083" s="609"/>
      <c r="BK1083" s="609"/>
      <c r="BL1083" s="609"/>
      <c r="BM1083" s="609"/>
      <c r="BN1083" s="609"/>
      <c r="BO1083" s="609"/>
      <c r="BP1083" s="609"/>
      <c r="BQ1083" s="609"/>
      <c r="BR1083" s="609"/>
      <c r="BS1083" s="609"/>
      <c r="BT1083" s="609"/>
      <c r="BU1083" s="609"/>
      <c r="BV1083" s="609"/>
      <c r="BW1083" s="609"/>
      <c r="BX1083" s="609"/>
      <c r="BY1083" s="609"/>
      <c r="BZ1083" s="609"/>
      <c r="CA1083" s="609"/>
      <c r="CB1083" s="609"/>
      <c r="CC1083" s="609"/>
      <c r="CD1083" s="609"/>
      <c r="CE1083" s="609"/>
      <c r="CF1083" s="609"/>
      <c r="CG1083" s="609"/>
      <c r="CH1083" s="609"/>
      <c r="CI1083" s="609"/>
      <c r="CJ1083" s="609"/>
      <c r="CK1083" s="609"/>
      <c r="CL1083" s="609"/>
      <c r="CM1083" s="609"/>
      <c r="CN1083" s="609"/>
      <c r="CO1083" s="609"/>
      <c r="CP1083" s="609"/>
      <c r="CQ1083" s="609"/>
      <c r="CR1083" s="609"/>
      <c r="CS1083" s="609"/>
      <c r="CT1083" s="609"/>
      <c r="CU1083" s="609"/>
      <c r="CV1083" s="609"/>
      <c r="CW1083" s="609"/>
      <c r="CX1083" s="609"/>
      <c r="CY1083" s="609"/>
      <c r="CZ1083" s="609"/>
      <c r="DA1083" s="609"/>
      <c r="DB1083" s="609"/>
      <c r="DC1083" s="609"/>
      <c r="DD1083" s="609"/>
      <c r="DE1083" s="609"/>
      <c r="DF1083" s="609"/>
      <c r="DG1083" s="609"/>
      <c r="DH1083" s="609"/>
      <c r="DI1083" s="609"/>
      <c r="DJ1083" s="609"/>
      <c r="DK1083" s="609"/>
      <c r="DL1083" s="609"/>
      <c r="DM1083" s="609"/>
      <c r="DN1083" s="609"/>
      <c r="DO1083" s="609"/>
      <c r="DP1083" s="609"/>
      <c r="DQ1083" s="609"/>
      <c r="DR1083" s="609"/>
      <c r="DS1083" s="609"/>
      <c r="DT1083" s="609"/>
      <c r="DU1083" s="609"/>
      <c r="DV1083" s="609"/>
      <c r="DW1083" s="609"/>
      <c r="DX1083" s="609"/>
      <c r="DY1083" s="609"/>
      <c r="DZ1083" s="609"/>
      <c r="EA1083" s="609"/>
      <c r="EB1083" s="609"/>
      <c r="EC1083" s="609"/>
      <c r="ED1083" s="609"/>
      <c r="EE1083" s="609"/>
      <c r="EF1083" s="609"/>
      <c r="EG1083" s="609"/>
      <c r="EH1083" s="609"/>
      <c r="EI1083" s="609"/>
      <c r="EJ1083" s="609"/>
      <c r="EK1083" s="609"/>
      <c r="EL1083" s="609"/>
      <c r="EM1083" s="609"/>
      <c r="EN1083" s="609"/>
      <c r="EO1083" s="609"/>
      <c r="EP1083" s="609"/>
      <c r="EQ1083" s="609"/>
      <c r="ER1083" s="609"/>
      <c r="ES1083" s="609"/>
      <c r="ET1083" s="609"/>
      <c r="EU1083" s="609"/>
      <c r="EV1083" s="609"/>
      <c r="EW1083" s="609"/>
      <c r="EX1083" s="609"/>
      <c r="EY1083" s="609"/>
      <c r="EZ1083" s="609"/>
      <c r="FA1083" s="609"/>
      <c r="FB1083" s="609"/>
      <c r="FC1083" s="609"/>
      <c r="FD1083" s="609"/>
      <c r="FE1083" s="609"/>
      <c r="FF1083" s="609"/>
      <c r="FG1083" s="609"/>
      <c r="FH1083" s="609"/>
      <c r="FI1083" s="609"/>
      <c r="FJ1083" s="609"/>
      <c r="FK1083" s="609"/>
      <c r="FL1083" s="609"/>
      <c r="FM1083" s="609"/>
      <c r="FN1083" s="609"/>
      <c r="FO1083" s="609"/>
      <c r="FP1083" s="609"/>
      <c r="FQ1083" s="609"/>
      <c r="FR1083" s="609"/>
      <c r="FS1083" s="609"/>
      <c r="FT1083" s="609"/>
      <c r="FU1083" s="609"/>
      <c r="FV1083" s="609"/>
      <c r="FW1083" s="609"/>
      <c r="FX1083" s="609"/>
      <c r="FY1083" s="609"/>
      <c r="FZ1083" s="609"/>
      <c r="GA1083" s="609"/>
      <c r="GB1083" s="609"/>
      <c r="GC1083" s="609"/>
      <c r="GD1083" s="609"/>
      <c r="GE1083" s="609"/>
      <c r="GF1083" s="609"/>
      <c r="GG1083" s="609"/>
      <c r="GH1083" s="609"/>
      <c r="GI1083" s="609"/>
      <c r="GJ1083" s="609"/>
      <c r="GK1083" s="609"/>
      <c r="GL1083" s="609"/>
      <c r="GM1083" s="609"/>
      <c r="GN1083" s="609"/>
      <c r="GO1083" s="609"/>
      <c r="GP1083" s="609"/>
      <c r="GQ1083" s="609"/>
      <c r="GR1083" s="609"/>
      <c r="GS1083" s="609"/>
      <c r="GT1083" s="609"/>
      <c r="GU1083" s="609"/>
      <c r="GV1083" s="609"/>
      <c r="GW1083" s="609"/>
      <c r="GX1083" s="609"/>
      <c r="GY1083" s="609"/>
      <c r="GZ1083" s="609"/>
      <c r="HA1083" s="609"/>
      <c r="HB1083" s="609"/>
      <c r="HC1083" s="609"/>
      <c r="HD1083" s="609"/>
      <c r="HE1083" s="609"/>
      <c r="HF1083" s="609"/>
      <c r="HG1083" s="609"/>
      <c r="HH1083" s="609"/>
      <c r="HI1083" s="609"/>
      <c r="HJ1083" s="609"/>
      <c r="HK1083" s="609"/>
      <c r="HL1083" s="609"/>
      <c r="HM1083" s="609"/>
      <c r="HN1083" s="609"/>
      <c r="HO1083" s="609"/>
      <c r="HP1083" s="609"/>
      <c r="HQ1083" s="609"/>
      <c r="HR1083" s="609"/>
      <c r="HS1083" s="609"/>
      <c r="HT1083" s="609"/>
      <c r="HU1083" s="609"/>
      <c r="HV1083" s="609"/>
      <c r="HW1083" s="609"/>
      <c r="HX1083" s="609"/>
      <c r="HY1083" s="609"/>
      <c r="HZ1083" s="609"/>
      <c r="IA1083" s="609"/>
      <c r="IB1083" s="609"/>
      <c r="IC1083" s="609"/>
      <c r="ID1083" s="609"/>
      <c r="IE1083" s="609"/>
      <c r="IF1083" s="609"/>
      <c r="IG1083" s="609"/>
      <c r="IH1083" s="609"/>
      <c r="II1083" s="609"/>
      <c r="IJ1083" s="609"/>
      <c r="IK1083" s="609"/>
      <c r="IL1083" s="609"/>
      <c r="IM1083" s="609"/>
      <c r="IN1083" s="609"/>
      <c r="IO1083" s="609"/>
      <c r="IP1083" s="609"/>
      <c r="IQ1083" s="609"/>
      <c r="IR1083" s="609"/>
      <c r="IS1083" s="609"/>
      <c r="IT1083" s="609"/>
      <c r="IU1083" s="609"/>
      <c r="IV1083" s="609"/>
    </row>
    <row r="1084" spans="1:256" s="708" customFormat="1" x14ac:dyDescent="0.25">
      <c r="A1084" s="634" t="s">
        <v>277</v>
      </c>
      <c r="B1084" s="634">
        <v>247</v>
      </c>
      <c r="C1084" s="634"/>
      <c r="D1084" s="635" t="s">
        <v>1070</v>
      </c>
      <c r="E1084" s="634" t="s">
        <v>229</v>
      </c>
      <c r="F1084" s="635">
        <v>0.65</v>
      </c>
      <c r="G1084" s="681">
        <v>9.65</v>
      </c>
      <c r="H1084" s="635"/>
      <c r="I1084" s="691"/>
      <c r="J1084" s="691">
        <f>ROUND(F1084*G1084,2)</f>
        <v>6.27</v>
      </c>
      <c r="K1084" s="691"/>
      <c r="L1084" s="691"/>
      <c r="M1084" s="691"/>
      <c r="N1084" s="691"/>
      <c r="O1084" s="691"/>
      <c r="P1084" s="691"/>
      <c r="Q1084" s="609"/>
      <c r="R1084" s="609"/>
      <c r="S1084" s="609"/>
      <c r="T1084" s="609"/>
      <c r="U1084" s="609"/>
      <c r="V1084" s="609"/>
      <c r="W1084" s="609"/>
      <c r="X1084" s="609"/>
      <c r="Y1084" s="609"/>
      <c r="Z1084" s="609"/>
      <c r="AA1084" s="609"/>
      <c r="AB1084" s="609"/>
      <c r="AC1084" s="609"/>
      <c r="AD1084" s="609"/>
      <c r="AE1084" s="609"/>
      <c r="AF1084" s="609"/>
      <c r="AG1084" s="609"/>
      <c r="AH1084" s="609"/>
      <c r="AI1084" s="609"/>
      <c r="AJ1084" s="609"/>
      <c r="AK1084" s="609"/>
      <c r="AL1084" s="609"/>
      <c r="AM1084" s="609"/>
      <c r="AN1084" s="609"/>
      <c r="AO1084" s="609"/>
      <c r="AP1084" s="609"/>
      <c r="AQ1084" s="609"/>
      <c r="AR1084" s="609"/>
      <c r="AS1084" s="609"/>
      <c r="AT1084" s="609"/>
      <c r="AU1084" s="609"/>
      <c r="AV1084" s="609"/>
      <c r="AW1084" s="609"/>
      <c r="AX1084" s="609"/>
      <c r="AY1084" s="609"/>
      <c r="AZ1084" s="609"/>
      <c r="BA1084" s="609"/>
      <c r="BB1084" s="609"/>
      <c r="BC1084" s="609"/>
      <c r="BD1084" s="609"/>
      <c r="BE1084" s="609"/>
      <c r="BF1084" s="609"/>
      <c r="BG1084" s="609"/>
      <c r="BH1084" s="609"/>
      <c r="BI1084" s="609"/>
      <c r="BJ1084" s="609"/>
      <c r="BK1084" s="609"/>
      <c r="BL1084" s="609"/>
      <c r="BM1084" s="609"/>
      <c r="BN1084" s="609"/>
      <c r="BO1084" s="609"/>
      <c r="BP1084" s="609"/>
      <c r="BQ1084" s="609"/>
      <c r="BR1084" s="609"/>
      <c r="BS1084" s="609"/>
      <c r="BT1084" s="609"/>
      <c r="BU1084" s="609"/>
      <c r="BV1084" s="609"/>
      <c r="BW1084" s="609"/>
      <c r="BX1084" s="609"/>
      <c r="BY1084" s="609"/>
      <c r="BZ1084" s="609"/>
      <c r="CA1084" s="609"/>
      <c r="CB1084" s="609"/>
      <c r="CC1084" s="609"/>
      <c r="CD1084" s="609"/>
      <c r="CE1084" s="609"/>
      <c r="CF1084" s="609"/>
      <c r="CG1084" s="609"/>
      <c r="CH1084" s="609"/>
      <c r="CI1084" s="609"/>
      <c r="CJ1084" s="609"/>
      <c r="CK1084" s="609"/>
      <c r="CL1084" s="609"/>
      <c r="CM1084" s="609"/>
      <c r="CN1084" s="609"/>
      <c r="CO1084" s="609"/>
      <c r="CP1084" s="609"/>
      <c r="CQ1084" s="609"/>
      <c r="CR1084" s="609"/>
      <c r="CS1084" s="609"/>
      <c r="CT1084" s="609"/>
      <c r="CU1084" s="609"/>
      <c r="CV1084" s="609"/>
      <c r="CW1084" s="609"/>
      <c r="CX1084" s="609"/>
      <c r="CY1084" s="609"/>
      <c r="CZ1084" s="609"/>
      <c r="DA1084" s="609"/>
      <c r="DB1084" s="609"/>
      <c r="DC1084" s="609"/>
      <c r="DD1084" s="609"/>
      <c r="DE1084" s="609"/>
      <c r="DF1084" s="609"/>
      <c r="DG1084" s="609"/>
      <c r="DH1084" s="609"/>
      <c r="DI1084" s="609"/>
      <c r="DJ1084" s="609"/>
      <c r="DK1084" s="609"/>
      <c r="DL1084" s="609"/>
      <c r="DM1084" s="609"/>
      <c r="DN1084" s="609"/>
      <c r="DO1084" s="609"/>
      <c r="DP1084" s="609"/>
      <c r="DQ1084" s="609"/>
      <c r="DR1084" s="609"/>
      <c r="DS1084" s="609"/>
      <c r="DT1084" s="609"/>
      <c r="DU1084" s="609"/>
      <c r="DV1084" s="609"/>
      <c r="DW1084" s="609"/>
      <c r="DX1084" s="609"/>
      <c r="DY1084" s="609"/>
      <c r="DZ1084" s="609"/>
      <c r="EA1084" s="609"/>
      <c r="EB1084" s="609"/>
      <c r="EC1084" s="609"/>
      <c r="ED1084" s="609"/>
      <c r="EE1084" s="609"/>
      <c r="EF1084" s="609"/>
      <c r="EG1084" s="609"/>
      <c r="EH1084" s="609"/>
      <c r="EI1084" s="609"/>
      <c r="EJ1084" s="609"/>
      <c r="EK1084" s="609"/>
      <c r="EL1084" s="609"/>
      <c r="EM1084" s="609"/>
      <c r="EN1084" s="609"/>
      <c r="EO1084" s="609"/>
      <c r="EP1084" s="609"/>
      <c r="EQ1084" s="609"/>
      <c r="ER1084" s="609"/>
      <c r="ES1084" s="609"/>
      <c r="ET1084" s="609"/>
      <c r="EU1084" s="609"/>
      <c r="EV1084" s="609"/>
      <c r="EW1084" s="609"/>
      <c r="EX1084" s="609"/>
      <c r="EY1084" s="609"/>
      <c r="EZ1084" s="609"/>
      <c r="FA1084" s="609"/>
      <c r="FB1084" s="609"/>
      <c r="FC1084" s="609"/>
      <c r="FD1084" s="609"/>
      <c r="FE1084" s="609"/>
      <c r="FF1084" s="609"/>
      <c r="FG1084" s="609"/>
      <c r="FH1084" s="609"/>
      <c r="FI1084" s="609"/>
      <c r="FJ1084" s="609"/>
      <c r="FK1084" s="609"/>
      <c r="FL1084" s="609"/>
      <c r="FM1084" s="609"/>
      <c r="FN1084" s="609"/>
      <c r="FO1084" s="609"/>
      <c r="FP1084" s="609"/>
      <c r="FQ1084" s="609"/>
      <c r="FR1084" s="609"/>
      <c r="FS1084" s="609"/>
      <c r="FT1084" s="609"/>
      <c r="FU1084" s="609"/>
      <c r="FV1084" s="609"/>
      <c r="FW1084" s="609"/>
      <c r="FX1084" s="609"/>
      <c r="FY1084" s="609"/>
      <c r="FZ1084" s="609"/>
      <c r="GA1084" s="609"/>
      <c r="GB1084" s="609"/>
      <c r="GC1084" s="609"/>
      <c r="GD1084" s="609"/>
      <c r="GE1084" s="609"/>
      <c r="GF1084" s="609"/>
      <c r="GG1084" s="609"/>
      <c r="GH1084" s="609"/>
      <c r="GI1084" s="609"/>
      <c r="GJ1084" s="609"/>
      <c r="GK1084" s="609"/>
      <c r="GL1084" s="609"/>
      <c r="GM1084" s="609"/>
      <c r="GN1084" s="609"/>
      <c r="GO1084" s="609"/>
      <c r="GP1084" s="609"/>
      <c r="GQ1084" s="609"/>
      <c r="GR1084" s="609"/>
      <c r="GS1084" s="609"/>
      <c r="GT1084" s="609"/>
      <c r="GU1084" s="609"/>
      <c r="GV1084" s="609"/>
      <c r="GW1084" s="609"/>
      <c r="GX1084" s="609"/>
      <c r="GY1084" s="609"/>
      <c r="GZ1084" s="609"/>
      <c r="HA1084" s="609"/>
      <c r="HB1084" s="609"/>
      <c r="HC1084" s="609"/>
      <c r="HD1084" s="609"/>
      <c r="HE1084" s="609"/>
      <c r="HF1084" s="609"/>
      <c r="HG1084" s="609"/>
      <c r="HH1084" s="609"/>
      <c r="HI1084" s="609"/>
      <c r="HJ1084" s="609"/>
      <c r="HK1084" s="609"/>
      <c r="HL1084" s="609"/>
      <c r="HM1084" s="609"/>
      <c r="HN1084" s="609"/>
      <c r="HO1084" s="609"/>
      <c r="HP1084" s="609"/>
      <c r="HQ1084" s="609"/>
      <c r="HR1084" s="609"/>
      <c r="HS1084" s="609"/>
      <c r="HT1084" s="609"/>
      <c r="HU1084" s="609"/>
      <c r="HV1084" s="609"/>
      <c r="HW1084" s="609"/>
      <c r="HX1084" s="609"/>
      <c r="HY1084" s="609"/>
      <c r="HZ1084" s="609"/>
      <c r="IA1084" s="609"/>
      <c r="IB1084" s="609"/>
      <c r="IC1084" s="609"/>
      <c r="ID1084" s="609"/>
      <c r="IE1084" s="609"/>
      <c r="IF1084" s="609"/>
      <c r="IG1084" s="609"/>
      <c r="IH1084" s="609"/>
      <c r="II1084" s="609"/>
      <c r="IJ1084" s="609"/>
      <c r="IK1084" s="609"/>
      <c r="IL1084" s="609"/>
      <c r="IM1084" s="609"/>
      <c r="IN1084" s="609"/>
      <c r="IO1084" s="609"/>
      <c r="IP1084" s="609"/>
      <c r="IQ1084" s="609"/>
      <c r="IR1084" s="609"/>
      <c r="IS1084" s="609"/>
      <c r="IT1084" s="609"/>
      <c r="IU1084" s="609"/>
      <c r="IV1084" s="609"/>
    </row>
    <row r="1085" spans="1:256" s="708" customFormat="1" x14ac:dyDescent="0.25">
      <c r="A1085" s="662"/>
      <c r="B1085" s="662"/>
      <c r="C1085" s="663" t="s">
        <v>1785</v>
      </c>
      <c r="D1085" s="630" t="s">
        <v>1786</v>
      </c>
      <c r="E1085" s="631" t="s">
        <v>135</v>
      </c>
      <c r="F1085" s="632"/>
      <c r="G1085" s="664"/>
      <c r="H1085" s="632">
        <v>8</v>
      </c>
      <c r="I1085" s="677">
        <f>SUM(I1086:I1087)</f>
        <v>8</v>
      </c>
      <c r="J1085" s="677">
        <f>SUM(J1086:J1087)</f>
        <v>6.29</v>
      </c>
      <c r="K1085" s="677">
        <f>I1085+J1085</f>
        <v>14.29</v>
      </c>
      <c r="L1085" s="622">
        <f>H1085*I1085</f>
        <v>64</v>
      </c>
      <c r="M1085" s="622">
        <f>H1085*J1085</f>
        <v>50.32</v>
      </c>
      <c r="N1085" s="622">
        <f>L1085+M1085</f>
        <v>114.32</v>
      </c>
      <c r="O1085" s="622">
        <f>N1085*$P$4</f>
        <v>28.076992000000001</v>
      </c>
      <c r="P1085" s="622">
        <f>N1085+O1085</f>
        <v>142.39699199999998</v>
      </c>
      <c r="Q1085" s="609"/>
      <c r="R1085" s="609"/>
      <c r="S1085" s="609"/>
      <c r="T1085" s="609"/>
      <c r="U1085" s="609"/>
      <c r="V1085" s="609"/>
      <c r="W1085" s="609"/>
      <c r="X1085" s="609"/>
      <c r="Y1085" s="609"/>
      <c r="Z1085" s="609"/>
      <c r="AA1085" s="609"/>
      <c r="AB1085" s="609"/>
      <c r="AC1085" s="609"/>
      <c r="AD1085" s="609"/>
      <c r="AE1085" s="609"/>
      <c r="AF1085" s="609"/>
      <c r="AG1085" s="609"/>
      <c r="AH1085" s="609"/>
      <c r="AI1085" s="609"/>
      <c r="AJ1085" s="609"/>
      <c r="AK1085" s="609"/>
      <c r="AL1085" s="609"/>
      <c r="AM1085" s="609"/>
      <c r="AN1085" s="609"/>
      <c r="AO1085" s="609"/>
      <c r="AP1085" s="609"/>
      <c r="AQ1085" s="609"/>
      <c r="AR1085" s="609"/>
      <c r="AS1085" s="609"/>
      <c r="AT1085" s="609"/>
      <c r="AU1085" s="609"/>
      <c r="AV1085" s="609"/>
      <c r="AW1085" s="609"/>
      <c r="AX1085" s="609"/>
      <c r="AY1085" s="609"/>
      <c r="AZ1085" s="609"/>
      <c r="BA1085" s="609"/>
      <c r="BB1085" s="609"/>
      <c r="BC1085" s="609"/>
      <c r="BD1085" s="609"/>
      <c r="BE1085" s="609"/>
      <c r="BF1085" s="609"/>
      <c r="BG1085" s="609"/>
      <c r="BH1085" s="609"/>
      <c r="BI1085" s="609"/>
      <c r="BJ1085" s="609"/>
      <c r="BK1085" s="609"/>
      <c r="BL1085" s="609"/>
      <c r="BM1085" s="609"/>
      <c r="BN1085" s="609"/>
      <c r="BO1085" s="609"/>
      <c r="BP1085" s="609"/>
      <c r="BQ1085" s="609"/>
      <c r="BR1085" s="609"/>
      <c r="BS1085" s="609"/>
      <c r="BT1085" s="609"/>
      <c r="BU1085" s="609"/>
      <c r="BV1085" s="609"/>
      <c r="BW1085" s="609"/>
      <c r="BX1085" s="609"/>
      <c r="BY1085" s="609"/>
      <c r="BZ1085" s="609"/>
      <c r="CA1085" s="609"/>
      <c r="CB1085" s="609"/>
      <c r="CC1085" s="609"/>
      <c r="CD1085" s="609"/>
      <c r="CE1085" s="609"/>
      <c r="CF1085" s="609"/>
      <c r="CG1085" s="609"/>
      <c r="CH1085" s="609"/>
      <c r="CI1085" s="609"/>
      <c r="CJ1085" s="609"/>
      <c r="CK1085" s="609"/>
      <c r="CL1085" s="609"/>
      <c r="CM1085" s="609"/>
      <c r="CN1085" s="609"/>
      <c r="CO1085" s="609"/>
      <c r="CP1085" s="609"/>
      <c r="CQ1085" s="609"/>
      <c r="CR1085" s="609"/>
      <c r="CS1085" s="609"/>
      <c r="CT1085" s="609"/>
      <c r="CU1085" s="609"/>
      <c r="CV1085" s="609"/>
      <c r="CW1085" s="609"/>
      <c r="CX1085" s="609"/>
      <c r="CY1085" s="609"/>
      <c r="CZ1085" s="609"/>
      <c r="DA1085" s="609"/>
      <c r="DB1085" s="609"/>
      <c r="DC1085" s="609"/>
      <c r="DD1085" s="609"/>
      <c r="DE1085" s="609"/>
      <c r="DF1085" s="609"/>
      <c r="DG1085" s="609"/>
      <c r="DH1085" s="609"/>
      <c r="DI1085" s="609"/>
      <c r="DJ1085" s="609"/>
      <c r="DK1085" s="609"/>
      <c r="DL1085" s="609"/>
      <c r="DM1085" s="609"/>
      <c r="DN1085" s="609"/>
      <c r="DO1085" s="609"/>
      <c r="DP1085" s="609"/>
      <c r="DQ1085" s="609"/>
      <c r="DR1085" s="609"/>
      <c r="DS1085" s="609"/>
      <c r="DT1085" s="609"/>
      <c r="DU1085" s="609"/>
      <c r="DV1085" s="609"/>
      <c r="DW1085" s="609"/>
      <c r="DX1085" s="609"/>
      <c r="DY1085" s="609"/>
      <c r="DZ1085" s="609"/>
      <c r="EA1085" s="609"/>
      <c r="EB1085" s="609"/>
      <c r="EC1085" s="609"/>
      <c r="ED1085" s="609"/>
      <c r="EE1085" s="609"/>
      <c r="EF1085" s="609"/>
      <c r="EG1085" s="609"/>
      <c r="EH1085" s="609"/>
      <c r="EI1085" s="609"/>
      <c r="EJ1085" s="609"/>
      <c r="EK1085" s="609"/>
      <c r="EL1085" s="609"/>
      <c r="EM1085" s="609"/>
      <c r="EN1085" s="609"/>
      <c r="EO1085" s="609"/>
      <c r="EP1085" s="609"/>
      <c r="EQ1085" s="609"/>
      <c r="ER1085" s="609"/>
      <c r="ES1085" s="609"/>
      <c r="ET1085" s="609"/>
      <c r="EU1085" s="609"/>
      <c r="EV1085" s="609"/>
      <c r="EW1085" s="609"/>
      <c r="EX1085" s="609"/>
      <c r="EY1085" s="609"/>
      <c r="EZ1085" s="609"/>
      <c r="FA1085" s="609"/>
      <c r="FB1085" s="609"/>
      <c r="FC1085" s="609"/>
      <c r="FD1085" s="609"/>
      <c r="FE1085" s="609"/>
      <c r="FF1085" s="609"/>
      <c r="FG1085" s="609"/>
      <c r="FH1085" s="609"/>
      <c r="FI1085" s="609"/>
      <c r="FJ1085" s="609"/>
      <c r="FK1085" s="609"/>
      <c r="FL1085" s="609"/>
      <c r="FM1085" s="609"/>
      <c r="FN1085" s="609"/>
      <c r="FO1085" s="609"/>
      <c r="FP1085" s="609"/>
      <c r="FQ1085" s="609"/>
      <c r="FR1085" s="609"/>
      <c r="FS1085" s="609"/>
      <c r="FT1085" s="609"/>
      <c r="FU1085" s="609"/>
      <c r="FV1085" s="609"/>
      <c r="FW1085" s="609"/>
      <c r="FX1085" s="609"/>
      <c r="FY1085" s="609"/>
      <c r="FZ1085" s="609"/>
      <c r="GA1085" s="609"/>
      <c r="GB1085" s="609"/>
      <c r="GC1085" s="609"/>
      <c r="GD1085" s="609"/>
      <c r="GE1085" s="609"/>
      <c r="GF1085" s="609"/>
      <c r="GG1085" s="609"/>
      <c r="GH1085" s="609"/>
      <c r="GI1085" s="609"/>
      <c r="GJ1085" s="609"/>
      <c r="GK1085" s="609"/>
      <c r="GL1085" s="609"/>
      <c r="GM1085" s="609"/>
      <c r="GN1085" s="609"/>
      <c r="GO1085" s="609"/>
      <c r="GP1085" s="609"/>
      <c r="GQ1085" s="609"/>
      <c r="GR1085" s="609"/>
      <c r="GS1085" s="609"/>
      <c r="GT1085" s="609"/>
      <c r="GU1085" s="609"/>
      <c r="GV1085" s="609"/>
      <c r="GW1085" s="609"/>
      <c r="GX1085" s="609"/>
      <c r="GY1085" s="609"/>
      <c r="GZ1085" s="609"/>
      <c r="HA1085" s="609"/>
      <c r="HB1085" s="609"/>
      <c r="HC1085" s="609"/>
      <c r="HD1085" s="609"/>
      <c r="HE1085" s="609"/>
      <c r="HF1085" s="609"/>
      <c r="HG1085" s="609"/>
      <c r="HH1085" s="609"/>
      <c r="HI1085" s="609"/>
      <c r="HJ1085" s="609"/>
      <c r="HK1085" s="609"/>
      <c r="HL1085" s="609"/>
      <c r="HM1085" s="609"/>
      <c r="HN1085" s="609"/>
      <c r="HO1085" s="609"/>
      <c r="HP1085" s="609"/>
      <c r="HQ1085" s="609"/>
      <c r="HR1085" s="609"/>
      <c r="HS1085" s="609"/>
      <c r="HT1085" s="609"/>
      <c r="HU1085" s="609"/>
      <c r="HV1085" s="609"/>
      <c r="HW1085" s="609"/>
      <c r="HX1085" s="609"/>
      <c r="HY1085" s="609"/>
      <c r="HZ1085" s="609"/>
      <c r="IA1085" s="609"/>
      <c r="IB1085" s="609"/>
      <c r="IC1085" s="609"/>
      <c r="ID1085" s="609"/>
      <c r="IE1085" s="609"/>
      <c r="IF1085" s="609"/>
      <c r="IG1085" s="609"/>
      <c r="IH1085" s="609"/>
      <c r="II1085" s="609"/>
      <c r="IJ1085" s="609"/>
      <c r="IK1085" s="609"/>
      <c r="IL1085" s="609"/>
      <c r="IM1085" s="609"/>
      <c r="IN1085" s="609"/>
      <c r="IO1085" s="609"/>
      <c r="IP1085" s="609"/>
      <c r="IQ1085" s="609"/>
      <c r="IR1085" s="609"/>
      <c r="IS1085" s="609"/>
      <c r="IT1085" s="609"/>
      <c r="IU1085" s="609"/>
      <c r="IV1085" s="609"/>
    </row>
    <row r="1086" spans="1:256" s="708" customFormat="1" ht="48" x14ac:dyDescent="0.25">
      <c r="A1086" s="634" t="s">
        <v>1705</v>
      </c>
      <c r="B1086" s="679"/>
      <c r="C1086" s="692"/>
      <c r="D1086" s="762" t="s">
        <v>1787</v>
      </c>
      <c r="E1086" s="692" t="s">
        <v>135</v>
      </c>
      <c r="F1086" s="680">
        <v>1</v>
      </c>
      <c r="G1086" s="681">
        <v>8</v>
      </c>
      <c r="H1086" s="680"/>
      <c r="I1086" s="763">
        <f>F1086*G1086</f>
        <v>8</v>
      </c>
      <c r="J1086" s="763"/>
      <c r="K1086" s="723"/>
      <c r="L1086" s="674"/>
      <c r="M1086" s="674"/>
      <c r="N1086" s="674"/>
      <c r="O1086" s="674"/>
      <c r="P1086" s="674"/>
      <c r="Q1086" s="609"/>
      <c r="R1086" s="609"/>
      <c r="S1086" s="609"/>
      <c r="T1086" s="609"/>
      <c r="U1086" s="609"/>
      <c r="V1086" s="609"/>
      <c r="W1086" s="609"/>
      <c r="X1086" s="609"/>
      <c r="Y1086" s="609"/>
      <c r="Z1086" s="609"/>
      <c r="AA1086" s="609"/>
      <c r="AB1086" s="609"/>
      <c r="AC1086" s="609"/>
      <c r="AD1086" s="609"/>
      <c r="AE1086" s="609"/>
      <c r="AF1086" s="609"/>
      <c r="AG1086" s="609"/>
      <c r="AH1086" s="609"/>
      <c r="AI1086" s="609"/>
      <c r="AJ1086" s="609"/>
      <c r="AK1086" s="609"/>
      <c r="AL1086" s="609"/>
      <c r="AM1086" s="609"/>
      <c r="AN1086" s="609"/>
      <c r="AO1086" s="609"/>
      <c r="AP1086" s="609"/>
      <c r="AQ1086" s="609"/>
      <c r="AR1086" s="609"/>
      <c r="AS1086" s="609"/>
      <c r="AT1086" s="609"/>
      <c r="AU1086" s="609"/>
      <c r="AV1086" s="609"/>
      <c r="AW1086" s="609"/>
      <c r="AX1086" s="609"/>
      <c r="AY1086" s="609"/>
      <c r="AZ1086" s="609"/>
      <c r="BA1086" s="609"/>
      <c r="BB1086" s="609"/>
      <c r="BC1086" s="609"/>
      <c r="BD1086" s="609"/>
      <c r="BE1086" s="609"/>
      <c r="BF1086" s="609"/>
      <c r="BG1086" s="609"/>
      <c r="BH1086" s="609"/>
      <c r="BI1086" s="609"/>
      <c r="BJ1086" s="609"/>
      <c r="BK1086" s="609"/>
      <c r="BL1086" s="609"/>
      <c r="BM1086" s="609"/>
      <c r="BN1086" s="609"/>
      <c r="BO1086" s="609"/>
      <c r="BP1086" s="609"/>
      <c r="BQ1086" s="609"/>
      <c r="BR1086" s="609"/>
      <c r="BS1086" s="609"/>
      <c r="BT1086" s="609"/>
      <c r="BU1086" s="609"/>
      <c r="BV1086" s="609"/>
      <c r="BW1086" s="609"/>
      <c r="BX1086" s="609"/>
      <c r="BY1086" s="609"/>
      <c r="BZ1086" s="609"/>
      <c r="CA1086" s="609"/>
      <c r="CB1086" s="609"/>
      <c r="CC1086" s="609"/>
      <c r="CD1086" s="609"/>
      <c r="CE1086" s="609"/>
      <c r="CF1086" s="609"/>
      <c r="CG1086" s="609"/>
      <c r="CH1086" s="609"/>
      <c r="CI1086" s="609"/>
      <c r="CJ1086" s="609"/>
      <c r="CK1086" s="609"/>
      <c r="CL1086" s="609"/>
      <c r="CM1086" s="609"/>
      <c r="CN1086" s="609"/>
      <c r="CO1086" s="609"/>
      <c r="CP1086" s="609"/>
      <c r="CQ1086" s="609"/>
      <c r="CR1086" s="609"/>
      <c r="CS1086" s="609"/>
      <c r="CT1086" s="609"/>
      <c r="CU1086" s="609"/>
      <c r="CV1086" s="609"/>
      <c r="CW1086" s="609"/>
      <c r="CX1086" s="609"/>
      <c r="CY1086" s="609"/>
      <c r="CZ1086" s="609"/>
      <c r="DA1086" s="609"/>
      <c r="DB1086" s="609"/>
      <c r="DC1086" s="609"/>
      <c r="DD1086" s="609"/>
      <c r="DE1086" s="609"/>
      <c r="DF1086" s="609"/>
      <c r="DG1086" s="609"/>
      <c r="DH1086" s="609"/>
      <c r="DI1086" s="609"/>
      <c r="DJ1086" s="609"/>
      <c r="DK1086" s="609"/>
      <c r="DL1086" s="609"/>
      <c r="DM1086" s="609"/>
      <c r="DN1086" s="609"/>
      <c r="DO1086" s="609"/>
      <c r="DP1086" s="609"/>
      <c r="DQ1086" s="609"/>
      <c r="DR1086" s="609"/>
      <c r="DS1086" s="609"/>
      <c r="DT1086" s="609"/>
      <c r="DU1086" s="609"/>
      <c r="DV1086" s="609"/>
      <c r="DW1086" s="609"/>
      <c r="DX1086" s="609"/>
      <c r="DY1086" s="609"/>
      <c r="DZ1086" s="609"/>
      <c r="EA1086" s="609"/>
      <c r="EB1086" s="609"/>
      <c r="EC1086" s="609"/>
      <c r="ED1086" s="609"/>
      <c r="EE1086" s="609"/>
      <c r="EF1086" s="609"/>
      <c r="EG1086" s="609"/>
      <c r="EH1086" s="609"/>
      <c r="EI1086" s="609"/>
      <c r="EJ1086" s="609"/>
      <c r="EK1086" s="609"/>
      <c r="EL1086" s="609"/>
      <c r="EM1086" s="609"/>
      <c r="EN1086" s="609"/>
      <c r="EO1086" s="609"/>
      <c r="EP1086" s="609"/>
      <c r="EQ1086" s="609"/>
      <c r="ER1086" s="609"/>
      <c r="ES1086" s="609"/>
      <c r="ET1086" s="609"/>
      <c r="EU1086" s="609"/>
      <c r="EV1086" s="609"/>
      <c r="EW1086" s="609"/>
      <c r="EX1086" s="609"/>
      <c r="EY1086" s="609"/>
      <c r="EZ1086" s="609"/>
      <c r="FA1086" s="609"/>
      <c r="FB1086" s="609"/>
      <c r="FC1086" s="609"/>
      <c r="FD1086" s="609"/>
      <c r="FE1086" s="609"/>
      <c r="FF1086" s="609"/>
      <c r="FG1086" s="609"/>
      <c r="FH1086" s="609"/>
      <c r="FI1086" s="609"/>
      <c r="FJ1086" s="609"/>
      <c r="FK1086" s="609"/>
      <c r="FL1086" s="609"/>
      <c r="FM1086" s="609"/>
      <c r="FN1086" s="609"/>
      <c r="FO1086" s="609"/>
      <c r="FP1086" s="609"/>
      <c r="FQ1086" s="609"/>
      <c r="FR1086" s="609"/>
      <c r="FS1086" s="609"/>
      <c r="FT1086" s="609"/>
      <c r="FU1086" s="609"/>
      <c r="FV1086" s="609"/>
      <c r="FW1086" s="609"/>
      <c r="FX1086" s="609"/>
      <c r="FY1086" s="609"/>
      <c r="FZ1086" s="609"/>
      <c r="GA1086" s="609"/>
      <c r="GB1086" s="609"/>
      <c r="GC1086" s="609"/>
      <c r="GD1086" s="609"/>
      <c r="GE1086" s="609"/>
      <c r="GF1086" s="609"/>
      <c r="GG1086" s="609"/>
      <c r="GH1086" s="609"/>
      <c r="GI1086" s="609"/>
      <c r="GJ1086" s="609"/>
      <c r="GK1086" s="609"/>
      <c r="GL1086" s="609"/>
      <c r="GM1086" s="609"/>
      <c r="GN1086" s="609"/>
      <c r="GO1086" s="609"/>
      <c r="GP1086" s="609"/>
      <c r="GQ1086" s="609"/>
      <c r="GR1086" s="609"/>
      <c r="GS1086" s="609"/>
      <c r="GT1086" s="609"/>
      <c r="GU1086" s="609"/>
      <c r="GV1086" s="609"/>
      <c r="GW1086" s="609"/>
      <c r="GX1086" s="609"/>
      <c r="GY1086" s="609"/>
      <c r="GZ1086" s="609"/>
      <c r="HA1086" s="609"/>
      <c r="HB1086" s="609"/>
      <c r="HC1086" s="609"/>
      <c r="HD1086" s="609"/>
      <c r="HE1086" s="609"/>
      <c r="HF1086" s="609"/>
      <c r="HG1086" s="609"/>
      <c r="HH1086" s="609"/>
      <c r="HI1086" s="609"/>
      <c r="HJ1086" s="609"/>
      <c r="HK1086" s="609"/>
      <c r="HL1086" s="609"/>
      <c r="HM1086" s="609"/>
      <c r="HN1086" s="609"/>
      <c r="HO1086" s="609"/>
      <c r="HP1086" s="609"/>
      <c r="HQ1086" s="609"/>
      <c r="HR1086" s="609"/>
      <c r="HS1086" s="609"/>
      <c r="HT1086" s="609"/>
      <c r="HU1086" s="609"/>
      <c r="HV1086" s="609"/>
      <c r="HW1086" s="609"/>
      <c r="HX1086" s="609"/>
      <c r="HY1086" s="609"/>
      <c r="HZ1086" s="609"/>
      <c r="IA1086" s="609"/>
      <c r="IB1086" s="609"/>
      <c r="IC1086" s="609"/>
      <c r="ID1086" s="609"/>
      <c r="IE1086" s="609"/>
      <c r="IF1086" s="609"/>
      <c r="IG1086" s="609"/>
      <c r="IH1086" s="609"/>
      <c r="II1086" s="609"/>
      <c r="IJ1086" s="609"/>
      <c r="IK1086" s="609"/>
      <c r="IL1086" s="609"/>
      <c r="IM1086" s="609"/>
      <c r="IN1086" s="609"/>
      <c r="IO1086" s="609"/>
      <c r="IP1086" s="609"/>
      <c r="IQ1086" s="609"/>
      <c r="IR1086" s="609"/>
      <c r="IS1086" s="609"/>
      <c r="IT1086" s="609"/>
      <c r="IU1086" s="609"/>
      <c r="IV1086" s="609"/>
    </row>
    <row r="1087" spans="1:256" s="708" customFormat="1" x14ac:dyDescent="0.25">
      <c r="A1087" s="634" t="s">
        <v>277</v>
      </c>
      <c r="B1087" s="634">
        <v>2436</v>
      </c>
      <c r="C1087" s="634"/>
      <c r="D1087" s="635" t="s">
        <v>1069</v>
      </c>
      <c r="E1087" s="634" t="s">
        <v>229</v>
      </c>
      <c r="F1087" s="635">
        <v>0.5</v>
      </c>
      <c r="G1087" s="681">
        <v>12.57</v>
      </c>
      <c r="H1087" s="635"/>
      <c r="I1087" s="691"/>
      <c r="J1087" s="691">
        <f>ROUND(F1087*G1087,2)</f>
        <v>6.29</v>
      </c>
      <c r="K1087" s="691"/>
      <c r="L1087" s="691"/>
      <c r="M1087" s="691"/>
      <c r="N1087" s="691"/>
      <c r="O1087" s="691"/>
      <c r="P1087" s="691"/>
      <c r="Q1087" s="609"/>
      <c r="R1087" s="609"/>
      <c r="S1087" s="609"/>
      <c r="T1087" s="609"/>
      <c r="U1087" s="609"/>
      <c r="V1087" s="609"/>
      <c r="W1087" s="609"/>
      <c r="X1087" s="609"/>
      <c r="Y1087" s="609"/>
      <c r="Z1087" s="609"/>
      <c r="AA1087" s="609"/>
      <c r="AB1087" s="609"/>
      <c r="AC1087" s="609"/>
      <c r="AD1087" s="609"/>
      <c r="AE1087" s="609"/>
      <c r="AF1087" s="609"/>
      <c r="AG1087" s="609"/>
      <c r="AH1087" s="609"/>
      <c r="AI1087" s="609"/>
      <c r="AJ1087" s="609"/>
      <c r="AK1087" s="609"/>
      <c r="AL1087" s="609"/>
      <c r="AM1087" s="609"/>
      <c r="AN1087" s="609"/>
      <c r="AO1087" s="609"/>
      <c r="AP1087" s="609"/>
      <c r="AQ1087" s="609"/>
      <c r="AR1087" s="609"/>
      <c r="AS1087" s="609"/>
      <c r="AT1087" s="609"/>
      <c r="AU1087" s="609"/>
      <c r="AV1087" s="609"/>
      <c r="AW1087" s="609"/>
      <c r="AX1087" s="609"/>
      <c r="AY1087" s="609"/>
      <c r="AZ1087" s="609"/>
      <c r="BA1087" s="609"/>
      <c r="BB1087" s="609"/>
      <c r="BC1087" s="609"/>
      <c r="BD1087" s="609"/>
      <c r="BE1087" s="609"/>
      <c r="BF1087" s="609"/>
      <c r="BG1087" s="609"/>
      <c r="BH1087" s="609"/>
      <c r="BI1087" s="609"/>
      <c r="BJ1087" s="609"/>
      <c r="BK1087" s="609"/>
      <c r="BL1087" s="609"/>
      <c r="BM1087" s="609"/>
      <c r="BN1087" s="609"/>
      <c r="BO1087" s="609"/>
      <c r="BP1087" s="609"/>
      <c r="BQ1087" s="609"/>
      <c r="BR1087" s="609"/>
      <c r="BS1087" s="609"/>
      <c r="BT1087" s="609"/>
      <c r="BU1087" s="609"/>
      <c r="BV1087" s="609"/>
      <c r="BW1087" s="609"/>
      <c r="BX1087" s="609"/>
      <c r="BY1087" s="609"/>
      <c r="BZ1087" s="609"/>
      <c r="CA1087" s="609"/>
      <c r="CB1087" s="609"/>
      <c r="CC1087" s="609"/>
      <c r="CD1087" s="609"/>
      <c r="CE1087" s="609"/>
      <c r="CF1087" s="609"/>
      <c r="CG1087" s="609"/>
      <c r="CH1087" s="609"/>
      <c r="CI1087" s="609"/>
      <c r="CJ1087" s="609"/>
      <c r="CK1087" s="609"/>
      <c r="CL1087" s="609"/>
      <c r="CM1087" s="609"/>
      <c r="CN1087" s="609"/>
      <c r="CO1087" s="609"/>
      <c r="CP1087" s="609"/>
      <c r="CQ1087" s="609"/>
      <c r="CR1087" s="609"/>
      <c r="CS1087" s="609"/>
      <c r="CT1087" s="609"/>
      <c r="CU1087" s="609"/>
      <c r="CV1087" s="609"/>
      <c r="CW1087" s="609"/>
      <c r="CX1087" s="609"/>
      <c r="CY1087" s="609"/>
      <c r="CZ1087" s="609"/>
      <c r="DA1087" s="609"/>
      <c r="DB1087" s="609"/>
      <c r="DC1087" s="609"/>
      <c r="DD1087" s="609"/>
      <c r="DE1087" s="609"/>
      <c r="DF1087" s="609"/>
      <c r="DG1087" s="609"/>
      <c r="DH1087" s="609"/>
      <c r="DI1087" s="609"/>
      <c r="DJ1087" s="609"/>
      <c r="DK1087" s="609"/>
      <c r="DL1087" s="609"/>
      <c r="DM1087" s="609"/>
      <c r="DN1087" s="609"/>
      <c r="DO1087" s="609"/>
      <c r="DP1087" s="609"/>
      <c r="DQ1087" s="609"/>
      <c r="DR1087" s="609"/>
      <c r="DS1087" s="609"/>
      <c r="DT1087" s="609"/>
      <c r="DU1087" s="609"/>
      <c r="DV1087" s="609"/>
      <c r="DW1087" s="609"/>
      <c r="DX1087" s="609"/>
      <c r="DY1087" s="609"/>
      <c r="DZ1087" s="609"/>
      <c r="EA1087" s="609"/>
      <c r="EB1087" s="609"/>
      <c r="EC1087" s="609"/>
      <c r="ED1087" s="609"/>
      <c r="EE1087" s="609"/>
      <c r="EF1087" s="609"/>
      <c r="EG1087" s="609"/>
      <c r="EH1087" s="609"/>
      <c r="EI1087" s="609"/>
      <c r="EJ1087" s="609"/>
      <c r="EK1087" s="609"/>
      <c r="EL1087" s="609"/>
      <c r="EM1087" s="609"/>
      <c r="EN1087" s="609"/>
      <c r="EO1087" s="609"/>
      <c r="EP1087" s="609"/>
      <c r="EQ1087" s="609"/>
      <c r="ER1087" s="609"/>
      <c r="ES1087" s="609"/>
      <c r="ET1087" s="609"/>
      <c r="EU1087" s="609"/>
      <c r="EV1087" s="609"/>
      <c r="EW1087" s="609"/>
      <c r="EX1087" s="609"/>
      <c r="EY1087" s="609"/>
      <c r="EZ1087" s="609"/>
      <c r="FA1087" s="609"/>
      <c r="FB1087" s="609"/>
      <c r="FC1087" s="609"/>
      <c r="FD1087" s="609"/>
      <c r="FE1087" s="609"/>
      <c r="FF1087" s="609"/>
      <c r="FG1087" s="609"/>
      <c r="FH1087" s="609"/>
      <c r="FI1087" s="609"/>
      <c r="FJ1087" s="609"/>
      <c r="FK1087" s="609"/>
      <c r="FL1087" s="609"/>
      <c r="FM1087" s="609"/>
      <c r="FN1087" s="609"/>
      <c r="FO1087" s="609"/>
      <c r="FP1087" s="609"/>
      <c r="FQ1087" s="609"/>
      <c r="FR1087" s="609"/>
      <c r="FS1087" s="609"/>
      <c r="FT1087" s="609"/>
      <c r="FU1087" s="609"/>
      <c r="FV1087" s="609"/>
      <c r="FW1087" s="609"/>
      <c r="FX1087" s="609"/>
      <c r="FY1087" s="609"/>
      <c r="FZ1087" s="609"/>
      <c r="GA1087" s="609"/>
      <c r="GB1087" s="609"/>
      <c r="GC1087" s="609"/>
      <c r="GD1087" s="609"/>
      <c r="GE1087" s="609"/>
      <c r="GF1087" s="609"/>
      <c r="GG1087" s="609"/>
      <c r="GH1087" s="609"/>
      <c r="GI1087" s="609"/>
      <c r="GJ1087" s="609"/>
      <c r="GK1087" s="609"/>
      <c r="GL1087" s="609"/>
      <c r="GM1087" s="609"/>
      <c r="GN1087" s="609"/>
      <c r="GO1087" s="609"/>
      <c r="GP1087" s="609"/>
      <c r="GQ1087" s="609"/>
      <c r="GR1087" s="609"/>
      <c r="GS1087" s="609"/>
      <c r="GT1087" s="609"/>
      <c r="GU1087" s="609"/>
      <c r="GV1087" s="609"/>
      <c r="GW1087" s="609"/>
      <c r="GX1087" s="609"/>
      <c r="GY1087" s="609"/>
      <c r="GZ1087" s="609"/>
      <c r="HA1087" s="609"/>
      <c r="HB1087" s="609"/>
      <c r="HC1087" s="609"/>
      <c r="HD1087" s="609"/>
      <c r="HE1087" s="609"/>
      <c r="HF1087" s="609"/>
      <c r="HG1087" s="609"/>
      <c r="HH1087" s="609"/>
      <c r="HI1087" s="609"/>
      <c r="HJ1087" s="609"/>
      <c r="HK1087" s="609"/>
      <c r="HL1087" s="609"/>
      <c r="HM1087" s="609"/>
      <c r="HN1087" s="609"/>
      <c r="HO1087" s="609"/>
      <c r="HP1087" s="609"/>
      <c r="HQ1087" s="609"/>
      <c r="HR1087" s="609"/>
      <c r="HS1087" s="609"/>
      <c r="HT1087" s="609"/>
      <c r="HU1087" s="609"/>
      <c r="HV1087" s="609"/>
      <c r="HW1087" s="609"/>
      <c r="HX1087" s="609"/>
      <c r="HY1087" s="609"/>
      <c r="HZ1087" s="609"/>
      <c r="IA1087" s="609"/>
      <c r="IB1087" s="609"/>
      <c r="IC1087" s="609"/>
      <c r="ID1087" s="609"/>
      <c r="IE1087" s="609"/>
      <c r="IF1087" s="609"/>
      <c r="IG1087" s="609"/>
      <c r="IH1087" s="609"/>
      <c r="II1087" s="609"/>
      <c r="IJ1087" s="609"/>
      <c r="IK1087" s="609"/>
      <c r="IL1087" s="609"/>
      <c r="IM1087" s="609"/>
      <c r="IN1087" s="609"/>
      <c r="IO1087" s="609"/>
      <c r="IP1087" s="609"/>
      <c r="IQ1087" s="609"/>
      <c r="IR1087" s="609"/>
      <c r="IS1087" s="609"/>
      <c r="IT1087" s="609"/>
      <c r="IU1087" s="609"/>
      <c r="IV1087" s="609"/>
    </row>
    <row r="1088" spans="1:256" s="708" customFormat="1" x14ac:dyDescent="0.25">
      <c r="A1088" s="662"/>
      <c r="B1088" s="662"/>
      <c r="C1088" s="663" t="s">
        <v>1788</v>
      </c>
      <c r="D1088" s="630" t="s">
        <v>1789</v>
      </c>
      <c r="E1088" s="631" t="s">
        <v>248</v>
      </c>
      <c r="F1088" s="632"/>
      <c r="G1088" s="664"/>
      <c r="H1088" s="632">
        <v>130</v>
      </c>
      <c r="I1088" s="677">
        <f>SUM(I1089:I1092)</f>
        <v>1.26</v>
      </c>
      <c r="J1088" s="677">
        <f>SUM(J1089:J1092)</f>
        <v>1.33</v>
      </c>
      <c r="K1088" s="677">
        <f>I1088+J1088</f>
        <v>2.59</v>
      </c>
      <c r="L1088" s="622">
        <f>H1088*I1088</f>
        <v>163.80000000000001</v>
      </c>
      <c r="M1088" s="622">
        <f>H1088*J1088</f>
        <v>172.9</v>
      </c>
      <c r="N1088" s="622">
        <f>L1088+M1088</f>
        <v>336.70000000000005</v>
      </c>
      <c r="O1088" s="622">
        <f>N1088*$P$4</f>
        <v>82.693520000000021</v>
      </c>
      <c r="P1088" s="622">
        <f>N1088+O1088</f>
        <v>419.39352000000008</v>
      </c>
      <c r="Q1088" s="609"/>
      <c r="R1088" s="609"/>
      <c r="S1088" s="609"/>
      <c r="T1088" s="609"/>
      <c r="U1088" s="609"/>
      <c r="V1088" s="609"/>
      <c r="W1088" s="609"/>
      <c r="X1088" s="609"/>
      <c r="Y1088" s="609"/>
      <c r="Z1088" s="609"/>
      <c r="AA1088" s="609"/>
      <c r="AB1088" s="609"/>
      <c r="AC1088" s="609"/>
      <c r="AD1088" s="609"/>
      <c r="AE1088" s="609"/>
      <c r="AF1088" s="609"/>
      <c r="AG1088" s="609"/>
      <c r="AH1088" s="609"/>
      <c r="AI1088" s="609"/>
      <c r="AJ1088" s="609"/>
      <c r="AK1088" s="609"/>
      <c r="AL1088" s="609"/>
      <c r="AM1088" s="609"/>
      <c r="AN1088" s="609"/>
      <c r="AO1088" s="609"/>
      <c r="AP1088" s="609"/>
      <c r="AQ1088" s="609"/>
      <c r="AR1088" s="609"/>
      <c r="AS1088" s="609"/>
      <c r="AT1088" s="609"/>
      <c r="AU1088" s="609"/>
      <c r="AV1088" s="609"/>
      <c r="AW1088" s="609"/>
      <c r="AX1088" s="609"/>
      <c r="AY1088" s="609"/>
      <c r="AZ1088" s="609"/>
      <c r="BA1088" s="609"/>
      <c r="BB1088" s="609"/>
      <c r="BC1088" s="609"/>
      <c r="BD1088" s="609"/>
      <c r="BE1088" s="609"/>
      <c r="BF1088" s="609"/>
      <c r="BG1088" s="609"/>
      <c r="BH1088" s="609"/>
      <c r="BI1088" s="609"/>
      <c r="BJ1088" s="609"/>
      <c r="BK1088" s="609"/>
      <c r="BL1088" s="609"/>
      <c r="BM1088" s="609"/>
      <c r="BN1088" s="609"/>
      <c r="BO1088" s="609"/>
      <c r="BP1088" s="609"/>
      <c r="BQ1088" s="609"/>
      <c r="BR1088" s="609"/>
      <c r="BS1088" s="609"/>
      <c r="BT1088" s="609"/>
      <c r="BU1088" s="609"/>
      <c r="BV1088" s="609"/>
      <c r="BW1088" s="609"/>
      <c r="BX1088" s="609"/>
      <c r="BY1088" s="609"/>
      <c r="BZ1088" s="609"/>
      <c r="CA1088" s="609"/>
      <c r="CB1088" s="609"/>
      <c r="CC1088" s="609"/>
      <c r="CD1088" s="609"/>
      <c r="CE1088" s="609"/>
      <c r="CF1088" s="609"/>
      <c r="CG1088" s="609"/>
      <c r="CH1088" s="609"/>
      <c r="CI1088" s="609"/>
      <c r="CJ1088" s="609"/>
      <c r="CK1088" s="609"/>
      <c r="CL1088" s="609"/>
      <c r="CM1088" s="609"/>
      <c r="CN1088" s="609"/>
      <c r="CO1088" s="609"/>
      <c r="CP1088" s="609"/>
      <c r="CQ1088" s="609"/>
      <c r="CR1088" s="609"/>
      <c r="CS1088" s="609"/>
      <c r="CT1088" s="609"/>
      <c r="CU1088" s="609"/>
      <c r="CV1088" s="609"/>
      <c r="CW1088" s="609"/>
      <c r="CX1088" s="609"/>
      <c r="CY1088" s="609"/>
      <c r="CZ1088" s="609"/>
      <c r="DA1088" s="609"/>
      <c r="DB1088" s="609"/>
      <c r="DC1088" s="609"/>
      <c r="DD1088" s="609"/>
      <c r="DE1088" s="609"/>
      <c r="DF1088" s="609"/>
      <c r="DG1088" s="609"/>
      <c r="DH1088" s="609"/>
      <c r="DI1088" s="609"/>
      <c r="DJ1088" s="609"/>
      <c r="DK1088" s="609"/>
      <c r="DL1088" s="609"/>
      <c r="DM1088" s="609"/>
      <c r="DN1088" s="609"/>
      <c r="DO1088" s="609"/>
      <c r="DP1088" s="609"/>
      <c r="DQ1088" s="609"/>
      <c r="DR1088" s="609"/>
      <c r="DS1088" s="609"/>
      <c r="DT1088" s="609"/>
      <c r="DU1088" s="609"/>
      <c r="DV1088" s="609"/>
      <c r="DW1088" s="609"/>
      <c r="DX1088" s="609"/>
      <c r="DY1088" s="609"/>
      <c r="DZ1088" s="609"/>
      <c r="EA1088" s="609"/>
      <c r="EB1088" s="609"/>
      <c r="EC1088" s="609"/>
      <c r="ED1088" s="609"/>
      <c r="EE1088" s="609"/>
      <c r="EF1088" s="609"/>
      <c r="EG1088" s="609"/>
      <c r="EH1088" s="609"/>
      <c r="EI1088" s="609"/>
      <c r="EJ1088" s="609"/>
      <c r="EK1088" s="609"/>
      <c r="EL1088" s="609"/>
      <c r="EM1088" s="609"/>
      <c r="EN1088" s="609"/>
      <c r="EO1088" s="609"/>
      <c r="EP1088" s="609"/>
      <c r="EQ1088" s="609"/>
      <c r="ER1088" s="609"/>
      <c r="ES1088" s="609"/>
      <c r="ET1088" s="609"/>
      <c r="EU1088" s="609"/>
      <c r="EV1088" s="609"/>
      <c r="EW1088" s="609"/>
      <c r="EX1088" s="609"/>
      <c r="EY1088" s="609"/>
      <c r="EZ1088" s="609"/>
      <c r="FA1088" s="609"/>
      <c r="FB1088" s="609"/>
      <c r="FC1088" s="609"/>
      <c r="FD1088" s="609"/>
      <c r="FE1088" s="609"/>
      <c r="FF1088" s="609"/>
      <c r="FG1088" s="609"/>
      <c r="FH1088" s="609"/>
      <c r="FI1088" s="609"/>
      <c r="FJ1088" s="609"/>
      <c r="FK1088" s="609"/>
      <c r="FL1088" s="609"/>
      <c r="FM1088" s="609"/>
      <c r="FN1088" s="609"/>
      <c r="FO1088" s="609"/>
      <c r="FP1088" s="609"/>
      <c r="FQ1088" s="609"/>
      <c r="FR1088" s="609"/>
      <c r="FS1088" s="609"/>
      <c r="FT1088" s="609"/>
      <c r="FU1088" s="609"/>
      <c r="FV1088" s="609"/>
      <c r="FW1088" s="609"/>
      <c r="FX1088" s="609"/>
      <c r="FY1088" s="609"/>
      <c r="FZ1088" s="609"/>
      <c r="GA1088" s="609"/>
      <c r="GB1088" s="609"/>
      <c r="GC1088" s="609"/>
      <c r="GD1088" s="609"/>
      <c r="GE1088" s="609"/>
      <c r="GF1088" s="609"/>
      <c r="GG1088" s="609"/>
      <c r="GH1088" s="609"/>
      <c r="GI1088" s="609"/>
      <c r="GJ1088" s="609"/>
      <c r="GK1088" s="609"/>
      <c r="GL1088" s="609"/>
      <c r="GM1088" s="609"/>
      <c r="GN1088" s="609"/>
      <c r="GO1088" s="609"/>
      <c r="GP1088" s="609"/>
      <c r="GQ1088" s="609"/>
      <c r="GR1088" s="609"/>
      <c r="GS1088" s="609"/>
      <c r="GT1088" s="609"/>
      <c r="GU1088" s="609"/>
      <c r="GV1088" s="609"/>
      <c r="GW1088" s="609"/>
      <c r="GX1088" s="609"/>
      <c r="GY1088" s="609"/>
      <c r="GZ1088" s="609"/>
      <c r="HA1088" s="609"/>
      <c r="HB1088" s="609"/>
      <c r="HC1088" s="609"/>
      <c r="HD1088" s="609"/>
      <c r="HE1088" s="609"/>
      <c r="HF1088" s="609"/>
      <c r="HG1088" s="609"/>
      <c r="HH1088" s="609"/>
      <c r="HI1088" s="609"/>
      <c r="HJ1088" s="609"/>
      <c r="HK1088" s="609"/>
      <c r="HL1088" s="609"/>
      <c r="HM1088" s="609"/>
      <c r="HN1088" s="609"/>
      <c r="HO1088" s="609"/>
      <c r="HP1088" s="609"/>
      <c r="HQ1088" s="609"/>
      <c r="HR1088" s="609"/>
      <c r="HS1088" s="609"/>
      <c r="HT1088" s="609"/>
      <c r="HU1088" s="609"/>
      <c r="HV1088" s="609"/>
      <c r="HW1088" s="609"/>
      <c r="HX1088" s="609"/>
      <c r="HY1088" s="609"/>
      <c r="HZ1088" s="609"/>
      <c r="IA1088" s="609"/>
      <c r="IB1088" s="609"/>
      <c r="IC1088" s="609"/>
      <c r="ID1088" s="609"/>
      <c r="IE1088" s="609"/>
      <c r="IF1088" s="609"/>
      <c r="IG1088" s="609"/>
      <c r="IH1088" s="609"/>
      <c r="II1088" s="609"/>
      <c r="IJ1088" s="609"/>
      <c r="IK1088" s="609"/>
      <c r="IL1088" s="609"/>
      <c r="IM1088" s="609"/>
      <c r="IN1088" s="609"/>
      <c r="IO1088" s="609"/>
      <c r="IP1088" s="609"/>
      <c r="IQ1088" s="609"/>
      <c r="IR1088" s="609"/>
      <c r="IS1088" s="609"/>
      <c r="IT1088" s="609"/>
      <c r="IU1088" s="609"/>
      <c r="IV1088" s="609"/>
    </row>
    <row r="1089" spans="1:256" s="708" customFormat="1" ht="48" x14ac:dyDescent="0.25">
      <c r="A1089" s="634" t="s">
        <v>1705</v>
      </c>
      <c r="B1089" s="679"/>
      <c r="C1089" s="634"/>
      <c r="D1089" s="693" t="s">
        <v>1790</v>
      </c>
      <c r="E1089" s="634" t="s">
        <v>248</v>
      </c>
      <c r="F1089" s="635">
        <v>1.02</v>
      </c>
      <c r="G1089" s="681">
        <v>1.22</v>
      </c>
      <c r="H1089" s="635"/>
      <c r="I1089" s="691">
        <f>ROUND(F1089*G1089,2)</f>
        <v>1.24</v>
      </c>
      <c r="J1089" s="691"/>
      <c r="K1089" s="691"/>
      <c r="L1089" s="691"/>
      <c r="M1089" s="691"/>
      <c r="N1089" s="691"/>
      <c r="O1089" s="691"/>
      <c r="P1089" s="691"/>
      <c r="Q1089" s="609"/>
      <c r="R1089" s="609"/>
      <c r="S1089" s="609"/>
      <c r="T1089" s="609"/>
      <c r="U1089" s="609"/>
      <c r="V1089" s="609"/>
      <c r="W1089" s="609"/>
      <c r="X1089" s="609"/>
      <c r="Y1089" s="609"/>
      <c r="Z1089" s="609"/>
      <c r="AA1089" s="609"/>
      <c r="AB1089" s="609"/>
      <c r="AC1089" s="609"/>
      <c r="AD1089" s="609"/>
      <c r="AE1089" s="609"/>
      <c r="AF1089" s="609"/>
      <c r="AG1089" s="609"/>
      <c r="AH1089" s="609"/>
      <c r="AI1089" s="609"/>
      <c r="AJ1089" s="609"/>
      <c r="AK1089" s="609"/>
      <c r="AL1089" s="609"/>
      <c r="AM1089" s="609"/>
      <c r="AN1089" s="609"/>
      <c r="AO1089" s="609"/>
      <c r="AP1089" s="609"/>
      <c r="AQ1089" s="609"/>
      <c r="AR1089" s="609"/>
      <c r="AS1089" s="609"/>
      <c r="AT1089" s="609"/>
      <c r="AU1089" s="609"/>
      <c r="AV1089" s="609"/>
      <c r="AW1089" s="609"/>
      <c r="AX1089" s="609"/>
      <c r="AY1089" s="609"/>
      <c r="AZ1089" s="609"/>
      <c r="BA1089" s="609"/>
      <c r="BB1089" s="609"/>
      <c r="BC1089" s="609"/>
      <c r="BD1089" s="609"/>
      <c r="BE1089" s="609"/>
      <c r="BF1089" s="609"/>
      <c r="BG1089" s="609"/>
      <c r="BH1089" s="609"/>
      <c r="BI1089" s="609"/>
      <c r="BJ1089" s="609"/>
      <c r="BK1089" s="609"/>
      <c r="BL1089" s="609"/>
      <c r="BM1089" s="609"/>
      <c r="BN1089" s="609"/>
      <c r="BO1089" s="609"/>
      <c r="BP1089" s="609"/>
      <c r="BQ1089" s="609"/>
      <c r="BR1089" s="609"/>
      <c r="BS1089" s="609"/>
      <c r="BT1089" s="609"/>
      <c r="BU1089" s="609"/>
      <c r="BV1089" s="609"/>
      <c r="BW1089" s="609"/>
      <c r="BX1089" s="609"/>
      <c r="BY1089" s="609"/>
      <c r="BZ1089" s="609"/>
      <c r="CA1089" s="609"/>
      <c r="CB1089" s="609"/>
      <c r="CC1089" s="609"/>
      <c r="CD1089" s="609"/>
      <c r="CE1089" s="609"/>
      <c r="CF1089" s="609"/>
      <c r="CG1089" s="609"/>
      <c r="CH1089" s="609"/>
      <c r="CI1089" s="609"/>
      <c r="CJ1089" s="609"/>
      <c r="CK1089" s="609"/>
      <c r="CL1089" s="609"/>
      <c r="CM1089" s="609"/>
      <c r="CN1089" s="609"/>
      <c r="CO1089" s="609"/>
      <c r="CP1089" s="609"/>
      <c r="CQ1089" s="609"/>
      <c r="CR1089" s="609"/>
      <c r="CS1089" s="609"/>
      <c r="CT1089" s="609"/>
      <c r="CU1089" s="609"/>
      <c r="CV1089" s="609"/>
      <c r="CW1089" s="609"/>
      <c r="CX1089" s="609"/>
      <c r="CY1089" s="609"/>
      <c r="CZ1089" s="609"/>
      <c r="DA1089" s="609"/>
      <c r="DB1089" s="609"/>
      <c r="DC1089" s="609"/>
      <c r="DD1089" s="609"/>
      <c r="DE1089" s="609"/>
      <c r="DF1089" s="609"/>
      <c r="DG1089" s="609"/>
      <c r="DH1089" s="609"/>
      <c r="DI1089" s="609"/>
      <c r="DJ1089" s="609"/>
      <c r="DK1089" s="609"/>
      <c r="DL1089" s="609"/>
      <c r="DM1089" s="609"/>
      <c r="DN1089" s="609"/>
      <c r="DO1089" s="609"/>
      <c r="DP1089" s="609"/>
      <c r="DQ1089" s="609"/>
      <c r="DR1089" s="609"/>
      <c r="DS1089" s="609"/>
      <c r="DT1089" s="609"/>
      <c r="DU1089" s="609"/>
      <c r="DV1089" s="609"/>
      <c r="DW1089" s="609"/>
      <c r="DX1089" s="609"/>
      <c r="DY1089" s="609"/>
      <c r="DZ1089" s="609"/>
      <c r="EA1089" s="609"/>
      <c r="EB1089" s="609"/>
      <c r="EC1089" s="609"/>
      <c r="ED1089" s="609"/>
      <c r="EE1089" s="609"/>
      <c r="EF1089" s="609"/>
      <c r="EG1089" s="609"/>
      <c r="EH1089" s="609"/>
      <c r="EI1089" s="609"/>
      <c r="EJ1089" s="609"/>
      <c r="EK1089" s="609"/>
      <c r="EL1089" s="609"/>
      <c r="EM1089" s="609"/>
      <c r="EN1089" s="609"/>
      <c r="EO1089" s="609"/>
      <c r="EP1089" s="609"/>
      <c r="EQ1089" s="609"/>
      <c r="ER1089" s="609"/>
      <c r="ES1089" s="609"/>
      <c r="ET1089" s="609"/>
      <c r="EU1089" s="609"/>
      <c r="EV1089" s="609"/>
      <c r="EW1089" s="609"/>
      <c r="EX1089" s="609"/>
      <c r="EY1089" s="609"/>
      <c r="EZ1089" s="609"/>
      <c r="FA1089" s="609"/>
      <c r="FB1089" s="609"/>
      <c r="FC1089" s="609"/>
      <c r="FD1089" s="609"/>
      <c r="FE1089" s="609"/>
      <c r="FF1089" s="609"/>
      <c r="FG1089" s="609"/>
      <c r="FH1089" s="609"/>
      <c r="FI1089" s="609"/>
      <c r="FJ1089" s="609"/>
      <c r="FK1089" s="609"/>
      <c r="FL1089" s="609"/>
      <c r="FM1089" s="609"/>
      <c r="FN1089" s="609"/>
      <c r="FO1089" s="609"/>
      <c r="FP1089" s="609"/>
      <c r="FQ1089" s="609"/>
      <c r="FR1089" s="609"/>
      <c r="FS1089" s="609"/>
      <c r="FT1089" s="609"/>
      <c r="FU1089" s="609"/>
      <c r="FV1089" s="609"/>
      <c r="FW1089" s="609"/>
      <c r="FX1089" s="609"/>
      <c r="FY1089" s="609"/>
      <c r="FZ1089" s="609"/>
      <c r="GA1089" s="609"/>
      <c r="GB1089" s="609"/>
      <c r="GC1089" s="609"/>
      <c r="GD1089" s="609"/>
      <c r="GE1089" s="609"/>
      <c r="GF1089" s="609"/>
      <c r="GG1089" s="609"/>
      <c r="GH1089" s="609"/>
      <c r="GI1089" s="609"/>
      <c r="GJ1089" s="609"/>
      <c r="GK1089" s="609"/>
      <c r="GL1089" s="609"/>
      <c r="GM1089" s="609"/>
      <c r="GN1089" s="609"/>
      <c r="GO1089" s="609"/>
      <c r="GP1089" s="609"/>
      <c r="GQ1089" s="609"/>
      <c r="GR1089" s="609"/>
      <c r="GS1089" s="609"/>
      <c r="GT1089" s="609"/>
      <c r="GU1089" s="609"/>
      <c r="GV1089" s="609"/>
      <c r="GW1089" s="609"/>
      <c r="GX1089" s="609"/>
      <c r="GY1089" s="609"/>
      <c r="GZ1089" s="609"/>
      <c r="HA1089" s="609"/>
      <c r="HB1089" s="609"/>
      <c r="HC1089" s="609"/>
      <c r="HD1089" s="609"/>
      <c r="HE1089" s="609"/>
      <c r="HF1089" s="609"/>
      <c r="HG1089" s="609"/>
      <c r="HH1089" s="609"/>
      <c r="HI1089" s="609"/>
      <c r="HJ1089" s="609"/>
      <c r="HK1089" s="609"/>
      <c r="HL1089" s="609"/>
      <c r="HM1089" s="609"/>
      <c r="HN1089" s="609"/>
      <c r="HO1089" s="609"/>
      <c r="HP1089" s="609"/>
      <c r="HQ1089" s="609"/>
      <c r="HR1089" s="609"/>
      <c r="HS1089" s="609"/>
      <c r="HT1089" s="609"/>
      <c r="HU1089" s="609"/>
      <c r="HV1089" s="609"/>
      <c r="HW1089" s="609"/>
      <c r="HX1089" s="609"/>
      <c r="HY1089" s="609"/>
      <c r="HZ1089" s="609"/>
      <c r="IA1089" s="609"/>
      <c r="IB1089" s="609"/>
      <c r="IC1089" s="609"/>
      <c r="ID1089" s="609"/>
      <c r="IE1089" s="609"/>
      <c r="IF1089" s="609"/>
      <c r="IG1089" s="609"/>
      <c r="IH1089" s="609"/>
      <c r="II1089" s="609"/>
      <c r="IJ1089" s="609"/>
      <c r="IK1089" s="609"/>
      <c r="IL1089" s="609"/>
      <c r="IM1089" s="609"/>
      <c r="IN1089" s="609"/>
      <c r="IO1089" s="609"/>
      <c r="IP1089" s="609"/>
      <c r="IQ1089" s="609"/>
      <c r="IR1089" s="609"/>
      <c r="IS1089" s="609"/>
      <c r="IT1089" s="609"/>
      <c r="IU1089" s="609"/>
      <c r="IV1089" s="609"/>
    </row>
    <row r="1090" spans="1:256" s="708" customFormat="1" x14ac:dyDescent="0.25">
      <c r="A1090" s="764" t="s">
        <v>43</v>
      </c>
      <c r="B1090" s="634">
        <v>21127</v>
      </c>
      <c r="C1090" s="634"/>
      <c r="D1090" s="635" t="s">
        <v>1356</v>
      </c>
      <c r="E1090" s="634" t="s">
        <v>248</v>
      </c>
      <c r="F1090" s="635">
        <v>0.01</v>
      </c>
      <c r="G1090" s="681">
        <v>1.76</v>
      </c>
      <c r="H1090" s="635"/>
      <c r="I1090" s="691">
        <f>ROUND(F1090*G1090,2)</f>
        <v>0.02</v>
      </c>
      <c r="J1090" s="691"/>
      <c r="K1090" s="691"/>
      <c r="L1090" s="691"/>
      <c r="M1090" s="691"/>
      <c r="N1090" s="691"/>
      <c r="O1090" s="691"/>
      <c r="P1090" s="691"/>
      <c r="Q1090" s="609"/>
      <c r="R1090" s="609"/>
      <c r="S1090" s="609"/>
      <c r="T1090" s="609"/>
      <c r="U1090" s="609"/>
      <c r="V1090" s="609"/>
      <c r="W1090" s="609"/>
      <c r="X1090" s="609"/>
      <c r="Y1090" s="609"/>
      <c r="Z1090" s="609"/>
      <c r="AA1090" s="609"/>
      <c r="AB1090" s="609"/>
      <c r="AC1090" s="609"/>
      <c r="AD1090" s="609"/>
      <c r="AE1090" s="609"/>
      <c r="AF1090" s="609"/>
      <c r="AG1090" s="609"/>
      <c r="AH1090" s="609"/>
      <c r="AI1090" s="609"/>
      <c r="AJ1090" s="609"/>
      <c r="AK1090" s="609"/>
      <c r="AL1090" s="609"/>
      <c r="AM1090" s="609"/>
      <c r="AN1090" s="609"/>
      <c r="AO1090" s="609"/>
      <c r="AP1090" s="609"/>
      <c r="AQ1090" s="609"/>
      <c r="AR1090" s="609"/>
      <c r="AS1090" s="609"/>
      <c r="AT1090" s="609"/>
      <c r="AU1090" s="609"/>
      <c r="AV1090" s="609"/>
      <c r="AW1090" s="609"/>
      <c r="AX1090" s="609"/>
      <c r="AY1090" s="609"/>
      <c r="AZ1090" s="609"/>
      <c r="BA1090" s="609"/>
      <c r="BB1090" s="609"/>
      <c r="BC1090" s="609"/>
      <c r="BD1090" s="609"/>
      <c r="BE1090" s="609"/>
      <c r="BF1090" s="609"/>
      <c r="BG1090" s="609"/>
      <c r="BH1090" s="609"/>
      <c r="BI1090" s="609"/>
      <c r="BJ1090" s="609"/>
      <c r="BK1090" s="609"/>
      <c r="BL1090" s="609"/>
      <c r="BM1090" s="609"/>
      <c r="BN1090" s="609"/>
      <c r="BO1090" s="609"/>
      <c r="BP1090" s="609"/>
      <c r="BQ1090" s="609"/>
      <c r="BR1090" s="609"/>
      <c r="BS1090" s="609"/>
      <c r="BT1090" s="609"/>
      <c r="BU1090" s="609"/>
      <c r="BV1090" s="609"/>
      <c r="BW1090" s="609"/>
      <c r="BX1090" s="609"/>
      <c r="BY1090" s="609"/>
      <c r="BZ1090" s="609"/>
      <c r="CA1090" s="609"/>
      <c r="CB1090" s="609"/>
      <c r="CC1090" s="609"/>
      <c r="CD1090" s="609"/>
      <c r="CE1090" s="609"/>
      <c r="CF1090" s="609"/>
      <c r="CG1090" s="609"/>
      <c r="CH1090" s="609"/>
      <c r="CI1090" s="609"/>
      <c r="CJ1090" s="609"/>
      <c r="CK1090" s="609"/>
      <c r="CL1090" s="609"/>
      <c r="CM1090" s="609"/>
      <c r="CN1090" s="609"/>
      <c r="CO1090" s="609"/>
      <c r="CP1090" s="609"/>
      <c r="CQ1090" s="609"/>
      <c r="CR1090" s="609"/>
      <c r="CS1090" s="609"/>
      <c r="CT1090" s="609"/>
      <c r="CU1090" s="609"/>
      <c r="CV1090" s="609"/>
      <c r="CW1090" s="609"/>
      <c r="CX1090" s="609"/>
      <c r="CY1090" s="609"/>
      <c r="CZ1090" s="609"/>
      <c r="DA1090" s="609"/>
      <c r="DB1090" s="609"/>
      <c r="DC1090" s="609"/>
      <c r="DD1090" s="609"/>
      <c r="DE1090" s="609"/>
      <c r="DF1090" s="609"/>
      <c r="DG1090" s="609"/>
      <c r="DH1090" s="609"/>
      <c r="DI1090" s="609"/>
      <c r="DJ1090" s="609"/>
      <c r="DK1090" s="609"/>
      <c r="DL1090" s="609"/>
      <c r="DM1090" s="609"/>
      <c r="DN1090" s="609"/>
      <c r="DO1090" s="609"/>
      <c r="DP1090" s="609"/>
      <c r="DQ1090" s="609"/>
      <c r="DR1090" s="609"/>
      <c r="DS1090" s="609"/>
      <c r="DT1090" s="609"/>
      <c r="DU1090" s="609"/>
      <c r="DV1090" s="609"/>
      <c r="DW1090" s="609"/>
      <c r="DX1090" s="609"/>
      <c r="DY1090" s="609"/>
      <c r="DZ1090" s="609"/>
      <c r="EA1090" s="609"/>
      <c r="EB1090" s="609"/>
      <c r="EC1090" s="609"/>
      <c r="ED1090" s="609"/>
      <c r="EE1090" s="609"/>
      <c r="EF1090" s="609"/>
      <c r="EG1090" s="609"/>
      <c r="EH1090" s="609"/>
      <c r="EI1090" s="609"/>
      <c r="EJ1090" s="609"/>
      <c r="EK1090" s="609"/>
      <c r="EL1090" s="609"/>
      <c r="EM1090" s="609"/>
      <c r="EN1090" s="609"/>
      <c r="EO1090" s="609"/>
      <c r="EP1090" s="609"/>
      <c r="EQ1090" s="609"/>
      <c r="ER1090" s="609"/>
      <c r="ES1090" s="609"/>
      <c r="ET1090" s="609"/>
      <c r="EU1090" s="609"/>
      <c r="EV1090" s="609"/>
      <c r="EW1090" s="609"/>
      <c r="EX1090" s="609"/>
      <c r="EY1090" s="609"/>
      <c r="EZ1090" s="609"/>
      <c r="FA1090" s="609"/>
      <c r="FB1090" s="609"/>
      <c r="FC1090" s="609"/>
      <c r="FD1090" s="609"/>
      <c r="FE1090" s="609"/>
      <c r="FF1090" s="609"/>
      <c r="FG1090" s="609"/>
      <c r="FH1090" s="609"/>
      <c r="FI1090" s="609"/>
      <c r="FJ1090" s="609"/>
      <c r="FK1090" s="609"/>
      <c r="FL1090" s="609"/>
      <c r="FM1090" s="609"/>
      <c r="FN1090" s="609"/>
      <c r="FO1090" s="609"/>
      <c r="FP1090" s="609"/>
      <c r="FQ1090" s="609"/>
      <c r="FR1090" s="609"/>
      <c r="FS1090" s="609"/>
      <c r="FT1090" s="609"/>
      <c r="FU1090" s="609"/>
      <c r="FV1090" s="609"/>
      <c r="FW1090" s="609"/>
      <c r="FX1090" s="609"/>
      <c r="FY1090" s="609"/>
      <c r="FZ1090" s="609"/>
      <c r="GA1090" s="609"/>
      <c r="GB1090" s="609"/>
      <c r="GC1090" s="609"/>
      <c r="GD1090" s="609"/>
      <c r="GE1090" s="609"/>
      <c r="GF1090" s="609"/>
      <c r="GG1090" s="609"/>
      <c r="GH1090" s="609"/>
      <c r="GI1090" s="609"/>
      <c r="GJ1090" s="609"/>
      <c r="GK1090" s="609"/>
      <c r="GL1090" s="609"/>
      <c r="GM1090" s="609"/>
      <c r="GN1090" s="609"/>
      <c r="GO1090" s="609"/>
      <c r="GP1090" s="609"/>
      <c r="GQ1090" s="609"/>
      <c r="GR1090" s="609"/>
      <c r="GS1090" s="609"/>
      <c r="GT1090" s="609"/>
      <c r="GU1090" s="609"/>
      <c r="GV1090" s="609"/>
      <c r="GW1090" s="609"/>
      <c r="GX1090" s="609"/>
      <c r="GY1090" s="609"/>
      <c r="GZ1090" s="609"/>
      <c r="HA1090" s="609"/>
      <c r="HB1090" s="609"/>
      <c r="HC1090" s="609"/>
      <c r="HD1090" s="609"/>
      <c r="HE1090" s="609"/>
      <c r="HF1090" s="609"/>
      <c r="HG1090" s="609"/>
      <c r="HH1090" s="609"/>
      <c r="HI1090" s="609"/>
      <c r="HJ1090" s="609"/>
      <c r="HK1090" s="609"/>
      <c r="HL1090" s="609"/>
      <c r="HM1090" s="609"/>
      <c r="HN1090" s="609"/>
      <c r="HO1090" s="609"/>
      <c r="HP1090" s="609"/>
      <c r="HQ1090" s="609"/>
      <c r="HR1090" s="609"/>
      <c r="HS1090" s="609"/>
      <c r="HT1090" s="609"/>
      <c r="HU1090" s="609"/>
      <c r="HV1090" s="609"/>
      <c r="HW1090" s="609"/>
      <c r="HX1090" s="609"/>
      <c r="HY1090" s="609"/>
      <c r="HZ1090" s="609"/>
      <c r="IA1090" s="609"/>
      <c r="IB1090" s="609"/>
      <c r="IC1090" s="609"/>
      <c r="ID1090" s="609"/>
      <c r="IE1090" s="609"/>
      <c r="IF1090" s="609"/>
      <c r="IG1090" s="609"/>
      <c r="IH1090" s="609"/>
      <c r="II1090" s="609"/>
      <c r="IJ1090" s="609"/>
      <c r="IK1090" s="609"/>
      <c r="IL1090" s="609"/>
      <c r="IM1090" s="609"/>
      <c r="IN1090" s="609"/>
      <c r="IO1090" s="609"/>
      <c r="IP1090" s="609"/>
      <c r="IQ1090" s="609"/>
      <c r="IR1090" s="609"/>
      <c r="IS1090" s="609"/>
      <c r="IT1090" s="609"/>
      <c r="IU1090" s="609"/>
      <c r="IV1090" s="609"/>
    </row>
    <row r="1091" spans="1:256" s="642" customFormat="1" x14ac:dyDescent="0.25">
      <c r="A1091" s="634" t="s">
        <v>277</v>
      </c>
      <c r="B1091" s="634">
        <v>2436</v>
      </c>
      <c r="C1091" s="634"/>
      <c r="D1091" s="635" t="s">
        <v>1069</v>
      </c>
      <c r="E1091" s="634" t="s">
        <v>229</v>
      </c>
      <c r="F1091" s="635">
        <v>0.06</v>
      </c>
      <c r="G1091" s="681">
        <v>12.57</v>
      </c>
      <c r="H1091" s="635"/>
      <c r="I1091" s="691" t="s">
        <v>1207</v>
      </c>
      <c r="J1091" s="691">
        <f>ROUND(F1091*G1091,2)</f>
        <v>0.75</v>
      </c>
      <c r="K1091" s="691"/>
      <c r="L1091" s="691"/>
      <c r="M1091" s="691"/>
      <c r="N1091" s="691"/>
      <c r="O1091" s="691"/>
      <c r="P1091" s="691"/>
      <c r="Q1091" s="656"/>
      <c r="R1091" s="656"/>
      <c r="S1091" s="656"/>
      <c r="T1091" s="656"/>
      <c r="U1091" s="656"/>
      <c r="V1091" s="656"/>
      <c r="W1091" s="656"/>
      <c r="X1091" s="656"/>
      <c r="Y1091" s="656"/>
      <c r="Z1091" s="656"/>
      <c r="AA1091" s="656"/>
      <c r="AB1091" s="656"/>
      <c r="AC1091" s="656"/>
      <c r="AD1091" s="656"/>
      <c r="AE1091" s="656"/>
      <c r="AF1091" s="656"/>
      <c r="AG1091" s="656"/>
      <c r="AH1091" s="656"/>
      <c r="AI1091" s="656"/>
      <c r="AJ1091" s="656"/>
      <c r="AK1091" s="656"/>
      <c r="AL1091" s="656"/>
      <c r="AM1091" s="656"/>
      <c r="AN1091" s="656"/>
      <c r="AO1091" s="656"/>
      <c r="AP1091" s="656"/>
      <c r="AQ1091" s="656"/>
      <c r="AR1091" s="656"/>
      <c r="AS1091" s="656"/>
      <c r="AT1091" s="656"/>
      <c r="AU1091" s="656"/>
      <c r="AV1091" s="656"/>
      <c r="AW1091" s="656"/>
      <c r="AX1091" s="656"/>
      <c r="AY1091" s="656"/>
      <c r="AZ1091" s="656"/>
      <c r="BA1091" s="656"/>
      <c r="BB1091" s="656"/>
      <c r="BC1091" s="656"/>
      <c r="BD1091" s="656"/>
      <c r="BE1091" s="656"/>
      <c r="BF1091" s="656"/>
      <c r="BG1091" s="656"/>
      <c r="BH1091" s="656"/>
      <c r="BI1091" s="656"/>
      <c r="BJ1091" s="656"/>
      <c r="BK1091" s="656"/>
      <c r="BL1091" s="656"/>
      <c r="BM1091" s="656"/>
      <c r="BN1091" s="656"/>
      <c r="BO1091" s="656"/>
      <c r="BP1091" s="656"/>
      <c r="BQ1091" s="656"/>
      <c r="BR1091" s="656"/>
      <c r="BS1091" s="656"/>
      <c r="BT1091" s="656"/>
      <c r="BU1091" s="656"/>
      <c r="BV1091" s="656"/>
      <c r="BW1091" s="656"/>
      <c r="BX1091" s="656"/>
      <c r="BY1091" s="656"/>
      <c r="BZ1091" s="656"/>
      <c r="CA1091" s="656"/>
      <c r="CB1091" s="656"/>
      <c r="CC1091" s="656"/>
      <c r="CD1091" s="656"/>
      <c r="CE1091" s="656"/>
      <c r="CF1091" s="656"/>
      <c r="CG1091" s="656"/>
      <c r="CH1091" s="656"/>
      <c r="CI1091" s="656"/>
      <c r="CJ1091" s="656"/>
      <c r="CK1091" s="656"/>
      <c r="CL1091" s="656"/>
      <c r="CM1091" s="656"/>
      <c r="CN1091" s="656"/>
      <c r="CO1091" s="656"/>
      <c r="CP1091" s="656"/>
      <c r="CQ1091" s="656"/>
      <c r="CR1091" s="656"/>
      <c r="CS1091" s="656"/>
      <c r="CT1091" s="656"/>
      <c r="CU1091" s="656"/>
      <c r="CV1091" s="656"/>
      <c r="CW1091" s="656"/>
      <c r="CX1091" s="656"/>
      <c r="CY1091" s="656"/>
      <c r="CZ1091" s="656"/>
      <c r="DA1091" s="656"/>
      <c r="DB1091" s="656"/>
      <c r="DC1091" s="656"/>
      <c r="DD1091" s="656"/>
      <c r="DE1091" s="656"/>
      <c r="DF1091" s="656"/>
      <c r="DG1091" s="656"/>
      <c r="DH1091" s="656"/>
      <c r="DI1091" s="656"/>
      <c r="DJ1091" s="656"/>
      <c r="DK1091" s="656"/>
      <c r="DL1091" s="656"/>
      <c r="DM1091" s="656"/>
      <c r="DN1091" s="656"/>
      <c r="DO1091" s="656"/>
      <c r="DP1091" s="656"/>
      <c r="DQ1091" s="656"/>
      <c r="DR1091" s="656"/>
      <c r="DS1091" s="656"/>
      <c r="DT1091" s="656"/>
      <c r="DU1091" s="656"/>
      <c r="DV1091" s="656"/>
      <c r="DW1091" s="656"/>
      <c r="DX1091" s="656"/>
      <c r="DY1091" s="656"/>
      <c r="DZ1091" s="656"/>
      <c r="EA1091" s="656"/>
      <c r="EB1091" s="656"/>
      <c r="EC1091" s="656"/>
      <c r="ED1091" s="656"/>
      <c r="EE1091" s="656"/>
      <c r="EF1091" s="656"/>
      <c r="EG1091" s="656"/>
      <c r="EH1091" s="656"/>
      <c r="EI1091" s="656"/>
      <c r="EJ1091" s="656"/>
      <c r="EK1091" s="656"/>
      <c r="EL1091" s="656"/>
      <c r="EM1091" s="656"/>
      <c r="EN1091" s="656"/>
      <c r="EO1091" s="656"/>
      <c r="EP1091" s="656"/>
      <c r="EQ1091" s="656"/>
      <c r="ER1091" s="656"/>
      <c r="ES1091" s="656"/>
      <c r="ET1091" s="656"/>
      <c r="EU1091" s="656"/>
      <c r="EV1091" s="656"/>
      <c r="EW1091" s="656"/>
      <c r="EX1091" s="656"/>
      <c r="EY1091" s="656"/>
      <c r="EZ1091" s="656"/>
      <c r="FA1091" s="656"/>
      <c r="FB1091" s="656"/>
      <c r="FC1091" s="656"/>
      <c r="FD1091" s="656"/>
      <c r="FE1091" s="656"/>
      <c r="FF1091" s="656"/>
      <c r="FG1091" s="656"/>
      <c r="FH1091" s="656"/>
      <c r="FI1091" s="656"/>
      <c r="FJ1091" s="656"/>
      <c r="FK1091" s="656"/>
      <c r="FL1091" s="656"/>
      <c r="FM1091" s="656"/>
      <c r="FN1091" s="656"/>
      <c r="FO1091" s="656"/>
      <c r="FP1091" s="656"/>
      <c r="FQ1091" s="656"/>
      <c r="FR1091" s="656"/>
      <c r="FS1091" s="656"/>
      <c r="FT1091" s="656"/>
      <c r="FU1091" s="656"/>
      <c r="FV1091" s="656"/>
      <c r="FW1091" s="656"/>
      <c r="FX1091" s="656"/>
      <c r="FY1091" s="656"/>
      <c r="FZ1091" s="656"/>
      <c r="GA1091" s="656"/>
      <c r="GB1091" s="656"/>
      <c r="GC1091" s="656"/>
      <c r="GD1091" s="656"/>
      <c r="GE1091" s="656"/>
      <c r="GF1091" s="656"/>
      <c r="GG1091" s="656"/>
      <c r="GH1091" s="656"/>
      <c r="GI1091" s="656"/>
      <c r="GJ1091" s="656"/>
      <c r="GK1091" s="656"/>
      <c r="GL1091" s="656"/>
      <c r="GM1091" s="656"/>
      <c r="GN1091" s="656"/>
      <c r="GO1091" s="656"/>
      <c r="GP1091" s="656"/>
      <c r="GQ1091" s="656"/>
      <c r="GR1091" s="656"/>
      <c r="GS1091" s="656"/>
      <c r="GT1091" s="656"/>
      <c r="GU1091" s="656"/>
      <c r="GV1091" s="656"/>
      <c r="GW1091" s="656"/>
      <c r="GX1091" s="656"/>
      <c r="GY1091" s="656"/>
      <c r="GZ1091" s="656"/>
      <c r="HA1091" s="656"/>
      <c r="HB1091" s="656"/>
      <c r="HC1091" s="656"/>
      <c r="HD1091" s="656"/>
      <c r="HE1091" s="656"/>
      <c r="HF1091" s="656"/>
      <c r="HG1091" s="656"/>
      <c r="HH1091" s="656"/>
      <c r="HI1091" s="656"/>
      <c r="HJ1091" s="656"/>
      <c r="HK1091" s="656"/>
      <c r="HL1091" s="656"/>
      <c r="HM1091" s="656"/>
      <c r="HN1091" s="656"/>
      <c r="HO1091" s="656"/>
      <c r="HP1091" s="656"/>
      <c r="HQ1091" s="656"/>
      <c r="HR1091" s="656"/>
      <c r="HS1091" s="656"/>
      <c r="HT1091" s="656"/>
      <c r="HU1091" s="656"/>
      <c r="HV1091" s="656"/>
      <c r="HW1091" s="656"/>
      <c r="HX1091" s="656"/>
      <c r="HY1091" s="656"/>
      <c r="HZ1091" s="656"/>
      <c r="IA1091" s="656"/>
      <c r="IB1091" s="656"/>
      <c r="IC1091" s="656"/>
      <c r="ID1091" s="656"/>
      <c r="IE1091" s="656"/>
      <c r="IF1091" s="656"/>
      <c r="IG1091" s="656"/>
      <c r="IH1091" s="656"/>
      <c r="II1091" s="656"/>
      <c r="IJ1091" s="656"/>
      <c r="IK1091" s="656"/>
      <c r="IL1091" s="656"/>
      <c r="IM1091" s="656"/>
      <c r="IN1091" s="656"/>
      <c r="IO1091" s="656"/>
      <c r="IP1091" s="656"/>
      <c r="IQ1091" s="656"/>
      <c r="IR1091" s="656"/>
      <c r="IS1091" s="656"/>
      <c r="IT1091" s="656"/>
      <c r="IU1091" s="656"/>
      <c r="IV1091" s="656"/>
    </row>
    <row r="1092" spans="1:256" s="642" customFormat="1" x14ac:dyDescent="0.25">
      <c r="A1092" s="634" t="s">
        <v>277</v>
      </c>
      <c r="B1092" s="634">
        <v>247</v>
      </c>
      <c r="C1092" s="634"/>
      <c r="D1092" s="635" t="s">
        <v>1070</v>
      </c>
      <c r="E1092" s="634" t="s">
        <v>229</v>
      </c>
      <c r="F1092" s="635">
        <v>0.06</v>
      </c>
      <c r="G1092" s="681">
        <v>9.65</v>
      </c>
      <c r="H1092" s="635"/>
      <c r="I1092" s="691"/>
      <c r="J1092" s="691">
        <f>ROUND(F1092*G1092,2)</f>
        <v>0.57999999999999996</v>
      </c>
      <c r="K1092" s="691"/>
      <c r="L1092" s="691"/>
      <c r="M1092" s="691"/>
      <c r="N1092" s="691"/>
      <c r="O1092" s="691"/>
      <c r="P1092" s="691"/>
      <c r="Q1092" s="656"/>
      <c r="R1092" s="656"/>
      <c r="S1092" s="656"/>
      <c r="T1092" s="656"/>
      <c r="U1092" s="656"/>
      <c r="V1092" s="656"/>
      <c r="W1092" s="656"/>
      <c r="X1092" s="656"/>
      <c r="Y1092" s="656"/>
      <c r="Z1092" s="656"/>
      <c r="AA1092" s="656"/>
      <c r="AB1092" s="656"/>
      <c r="AC1092" s="656"/>
      <c r="AD1092" s="656"/>
      <c r="AE1092" s="656"/>
      <c r="AF1092" s="656"/>
      <c r="AG1092" s="656"/>
      <c r="AH1092" s="656"/>
      <c r="AI1092" s="656"/>
      <c r="AJ1092" s="656"/>
      <c r="AK1092" s="656"/>
      <c r="AL1092" s="656"/>
      <c r="AM1092" s="656"/>
      <c r="AN1092" s="656"/>
      <c r="AO1092" s="656"/>
      <c r="AP1092" s="656"/>
      <c r="AQ1092" s="656"/>
      <c r="AR1092" s="656"/>
      <c r="AS1092" s="656"/>
      <c r="AT1092" s="656"/>
      <c r="AU1092" s="656"/>
      <c r="AV1092" s="656"/>
      <c r="AW1092" s="656"/>
      <c r="AX1092" s="656"/>
      <c r="AY1092" s="656"/>
      <c r="AZ1092" s="656"/>
      <c r="BA1092" s="656"/>
      <c r="BB1092" s="656"/>
      <c r="BC1092" s="656"/>
      <c r="BD1092" s="656"/>
      <c r="BE1092" s="656"/>
      <c r="BF1092" s="656"/>
      <c r="BG1092" s="656"/>
      <c r="BH1092" s="656"/>
      <c r="BI1092" s="656"/>
      <c r="BJ1092" s="656"/>
      <c r="BK1092" s="656"/>
      <c r="BL1092" s="656"/>
      <c r="BM1092" s="656"/>
      <c r="BN1092" s="656"/>
      <c r="BO1092" s="656"/>
      <c r="BP1092" s="656"/>
      <c r="BQ1092" s="656"/>
      <c r="BR1092" s="656"/>
      <c r="BS1092" s="656"/>
      <c r="BT1092" s="656"/>
      <c r="BU1092" s="656"/>
      <c r="BV1092" s="656"/>
      <c r="BW1092" s="656"/>
      <c r="BX1092" s="656"/>
      <c r="BY1092" s="656"/>
      <c r="BZ1092" s="656"/>
      <c r="CA1092" s="656"/>
      <c r="CB1092" s="656"/>
      <c r="CC1092" s="656"/>
      <c r="CD1092" s="656"/>
      <c r="CE1092" s="656"/>
      <c r="CF1092" s="656"/>
      <c r="CG1092" s="656"/>
      <c r="CH1092" s="656"/>
      <c r="CI1092" s="656"/>
      <c r="CJ1092" s="656"/>
      <c r="CK1092" s="656"/>
      <c r="CL1092" s="656"/>
      <c r="CM1092" s="656"/>
      <c r="CN1092" s="656"/>
      <c r="CO1092" s="656"/>
      <c r="CP1092" s="656"/>
      <c r="CQ1092" s="656"/>
      <c r="CR1092" s="656"/>
      <c r="CS1092" s="656"/>
      <c r="CT1092" s="656"/>
      <c r="CU1092" s="656"/>
      <c r="CV1092" s="656"/>
      <c r="CW1092" s="656"/>
      <c r="CX1092" s="656"/>
      <c r="CY1092" s="656"/>
      <c r="CZ1092" s="656"/>
      <c r="DA1092" s="656"/>
      <c r="DB1092" s="656"/>
      <c r="DC1092" s="656"/>
      <c r="DD1092" s="656"/>
      <c r="DE1092" s="656"/>
      <c r="DF1092" s="656"/>
      <c r="DG1092" s="656"/>
      <c r="DH1092" s="656"/>
      <c r="DI1092" s="656"/>
      <c r="DJ1092" s="656"/>
      <c r="DK1092" s="656"/>
      <c r="DL1092" s="656"/>
      <c r="DM1092" s="656"/>
      <c r="DN1092" s="656"/>
      <c r="DO1092" s="656"/>
      <c r="DP1092" s="656"/>
      <c r="DQ1092" s="656"/>
      <c r="DR1092" s="656"/>
      <c r="DS1092" s="656"/>
      <c r="DT1092" s="656"/>
      <c r="DU1092" s="656"/>
      <c r="DV1092" s="656"/>
      <c r="DW1092" s="656"/>
      <c r="DX1092" s="656"/>
      <c r="DY1092" s="656"/>
      <c r="DZ1092" s="656"/>
      <c r="EA1092" s="656"/>
      <c r="EB1092" s="656"/>
      <c r="EC1092" s="656"/>
      <c r="ED1092" s="656"/>
      <c r="EE1092" s="656"/>
      <c r="EF1092" s="656"/>
      <c r="EG1092" s="656"/>
      <c r="EH1092" s="656"/>
      <c r="EI1092" s="656"/>
      <c r="EJ1092" s="656"/>
      <c r="EK1092" s="656"/>
      <c r="EL1092" s="656"/>
      <c r="EM1092" s="656"/>
      <c r="EN1092" s="656"/>
      <c r="EO1092" s="656"/>
      <c r="EP1092" s="656"/>
      <c r="EQ1092" s="656"/>
      <c r="ER1092" s="656"/>
      <c r="ES1092" s="656"/>
      <c r="ET1092" s="656"/>
      <c r="EU1092" s="656"/>
      <c r="EV1092" s="656"/>
      <c r="EW1092" s="656"/>
      <c r="EX1092" s="656"/>
      <c r="EY1092" s="656"/>
      <c r="EZ1092" s="656"/>
      <c r="FA1092" s="656"/>
      <c r="FB1092" s="656"/>
      <c r="FC1092" s="656"/>
      <c r="FD1092" s="656"/>
      <c r="FE1092" s="656"/>
      <c r="FF1092" s="656"/>
      <c r="FG1092" s="656"/>
      <c r="FH1092" s="656"/>
      <c r="FI1092" s="656"/>
      <c r="FJ1092" s="656"/>
      <c r="FK1092" s="656"/>
      <c r="FL1092" s="656"/>
      <c r="FM1092" s="656"/>
      <c r="FN1092" s="656"/>
      <c r="FO1092" s="656"/>
      <c r="FP1092" s="656"/>
      <c r="FQ1092" s="656"/>
      <c r="FR1092" s="656"/>
      <c r="FS1092" s="656"/>
      <c r="FT1092" s="656"/>
      <c r="FU1092" s="656"/>
      <c r="FV1092" s="656"/>
      <c r="FW1092" s="656"/>
      <c r="FX1092" s="656"/>
      <c r="FY1092" s="656"/>
      <c r="FZ1092" s="656"/>
      <c r="GA1092" s="656"/>
      <c r="GB1092" s="656"/>
      <c r="GC1092" s="656"/>
      <c r="GD1092" s="656"/>
      <c r="GE1092" s="656"/>
      <c r="GF1092" s="656"/>
      <c r="GG1092" s="656"/>
      <c r="GH1092" s="656"/>
      <c r="GI1092" s="656"/>
      <c r="GJ1092" s="656"/>
      <c r="GK1092" s="656"/>
      <c r="GL1092" s="656"/>
      <c r="GM1092" s="656"/>
      <c r="GN1092" s="656"/>
      <c r="GO1092" s="656"/>
      <c r="GP1092" s="656"/>
      <c r="GQ1092" s="656"/>
      <c r="GR1092" s="656"/>
      <c r="GS1092" s="656"/>
      <c r="GT1092" s="656"/>
      <c r="GU1092" s="656"/>
      <c r="GV1092" s="656"/>
      <c r="GW1092" s="656"/>
      <c r="GX1092" s="656"/>
      <c r="GY1092" s="656"/>
      <c r="GZ1092" s="656"/>
      <c r="HA1092" s="656"/>
      <c r="HB1092" s="656"/>
      <c r="HC1092" s="656"/>
      <c r="HD1092" s="656"/>
      <c r="HE1092" s="656"/>
      <c r="HF1092" s="656"/>
      <c r="HG1092" s="656"/>
      <c r="HH1092" s="656"/>
      <c r="HI1092" s="656"/>
      <c r="HJ1092" s="656"/>
      <c r="HK1092" s="656"/>
      <c r="HL1092" s="656"/>
      <c r="HM1092" s="656"/>
      <c r="HN1092" s="656"/>
      <c r="HO1092" s="656"/>
      <c r="HP1092" s="656"/>
      <c r="HQ1092" s="656"/>
      <c r="HR1092" s="656"/>
      <c r="HS1092" s="656"/>
      <c r="HT1092" s="656"/>
      <c r="HU1092" s="656"/>
      <c r="HV1092" s="656"/>
      <c r="HW1092" s="656"/>
      <c r="HX1092" s="656"/>
      <c r="HY1092" s="656"/>
      <c r="HZ1092" s="656"/>
      <c r="IA1092" s="656"/>
      <c r="IB1092" s="656"/>
      <c r="IC1092" s="656"/>
      <c r="ID1092" s="656"/>
      <c r="IE1092" s="656"/>
      <c r="IF1092" s="656"/>
      <c r="IG1092" s="656"/>
      <c r="IH1092" s="656"/>
      <c r="II1092" s="656"/>
      <c r="IJ1092" s="656"/>
      <c r="IK1092" s="656"/>
      <c r="IL1092" s="656"/>
      <c r="IM1092" s="656"/>
      <c r="IN1092" s="656"/>
      <c r="IO1092" s="656"/>
      <c r="IP1092" s="656"/>
      <c r="IQ1092" s="656"/>
      <c r="IR1092" s="656"/>
      <c r="IS1092" s="656"/>
      <c r="IT1092" s="656"/>
      <c r="IU1092" s="656"/>
      <c r="IV1092" s="656"/>
    </row>
    <row r="1093" spans="1:256" s="642" customFormat="1" ht="9.75" customHeight="1" x14ac:dyDescent="0.25">
      <c r="A1093" s="634"/>
      <c r="B1093" s="634"/>
      <c r="C1093" s="634"/>
      <c r="D1093" s="635"/>
      <c r="E1093" s="634"/>
      <c r="F1093" s="635"/>
      <c r="G1093" s="681"/>
      <c r="H1093" s="635"/>
      <c r="I1093" s="691"/>
      <c r="J1093" s="691"/>
      <c r="K1093" s="691"/>
      <c r="L1093" s="691"/>
      <c r="M1093" s="691"/>
      <c r="N1093" s="691"/>
      <c r="O1093" s="691"/>
      <c r="P1093" s="691"/>
      <c r="Q1093" s="656"/>
      <c r="R1093" s="656"/>
      <c r="S1093" s="656"/>
      <c r="T1093" s="656"/>
      <c r="U1093" s="656"/>
      <c r="V1093" s="656"/>
      <c r="W1093" s="656"/>
      <c r="X1093" s="656"/>
      <c r="Y1093" s="656"/>
      <c r="Z1093" s="656"/>
      <c r="AA1093" s="656"/>
      <c r="AB1093" s="656"/>
      <c r="AC1093" s="656"/>
      <c r="AD1093" s="656"/>
      <c r="AE1093" s="656"/>
      <c r="AF1093" s="656"/>
      <c r="AG1093" s="656"/>
      <c r="AH1093" s="656"/>
      <c r="AI1093" s="656"/>
      <c r="AJ1093" s="656"/>
      <c r="AK1093" s="656"/>
      <c r="AL1093" s="656"/>
      <c r="AM1093" s="656"/>
      <c r="AN1093" s="656"/>
      <c r="AO1093" s="656"/>
      <c r="AP1093" s="656"/>
      <c r="AQ1093" s="656"/>
      <c r="AR1093" s="656"/>
      <c r="AS1093" s="656"/>
      <c r="AT1093" s="656"/>
      <c r="AU1093" s="656"/>
      <c r="AV1093" s="656"/>
      <c r="AW1093" s="656"/>
      <c r="AX1093" s="656"/>
      <c r="AY1093" s="656"/>
      <c r="AZ1093" s="656"/>
      <c r="BA1093" s="656"/>
      <c r="BB1093" s="656"/>
      <c r="BC1093" s="656"/>
      <c r="BD1093" s="656"/>
      <c r="BE1093" s="656"/>
      <c r="BF1093" s="656"/>
      <c r="BG1093" s="656"/>
      <c r="BH1093" s="656"/>
      <c r="BI1093" s="656"/>
      <c r="BJ1093" s="656"/>
      <c r="BK1093" s="656"/>
      <c r="BL1093" s="656"/>
      <c r="BM1093" s="656"/>
      <c r="BN1093" s="656"/>
      <c r="BO1093" s="656"/>
      <c r="BP1093" s="656"/>
      <c r="BQ1093" s="656"/>
      <c r="BR1093" s="656"/>
      <c r="BS1093" s="656"/>
      <c r="BT1093" s="656"/>
      <c r="BU1093" s="656"/>
      <c r="BV1093" s="656"/>
      <c r="BW1093" s="656"/>
      <c r="BX1093" s="656"/>
      <c r="BY1093" s="656"/>
      <c r="BZ1093" s="656"/>
      <c r="CA1093" s="656"/>
      <c r="CB1093" s="656"/>
      <c r="CC1093" s="656"/>
      <c r="CD1093" s="656"/>
      <c r="CE1093" s="656"/>
      <c r="CF1093" s="656"/>
      <c r="CG1093" s="656"/>
      <c r="CH1093" s="656"/>
      <c r="CI1093" s="656"/>
      <c r="CJ1093" s="656"/>
      <c r="CK1093" s="656"/>
      <c r="CL1093" s="656"/>
      <c r="CM1093" s="656"/>
      <c r="CN1093" s="656"/>
      <c r="CO1093" s="656"/>
      <c r="CP1093" s="656"/>
      <c r="CQ1093" s="656"/>
      <c r="CR1093" s="656"/>
      <c r="CS1093" s="656"/>
      <c r="CT1093" s="656"/>
      <c r="CU1093" s="656"/>
      <c r="CV1093" s="656"/>
      <c r="CW1093" s="656"/>
      <c r="CX1093" s="656"/>
      <c r="CY1093" s="656"/>
      <c r="CZ1093" s="656"/>
      <c r="DA1093" s="656"/>
      <c r="DB1093" s="656"/>
      <c r="DC1093" s="656"/>
      <c r="DD1093" s="656"/>
      <c r="DE1093" s="656"/>
      <c r="DF1093" s="656"/>
      <c r="DG1093" s="656"/>
      <c r="DH1093" s="656"/>
      <c r="DI1093" s="656"/>
      <c r="DJ1093" s="656"/>
      <c r="DK1093" s="656"/>
      <c r="DL1093" s="656"/>
      <c r="DM1093" s="656"/>
      <c r="DN1093" s="656"/>
      <c r="DO1093" s="656"/>
      <c r="DP1093" s="656"/>
      <c r="DQ1093" s="656"/>
      <c r="DR1093" s="656"/>
      <c r="DS1093" s="656"/>
      <c r="DT1093" s="656"/>
      <c r="DU1093" s="656"/>
      <c r="DV1093" s="656"/>
      <c r="DW1093" s="656"/>
      <c r="DX1093" s="656"/>
      <c r="DY1093" s="656"/>
      <c r="DZ1093" s="656"/>
      <c r="EA1093" s="656"/>
      <c r="EB1093" s="656"/>
      <c r="EC1093" s="656"/>
      <c r="ED1093" s="656"/>
      <c r="EE1093" s="656"/>
      <c r="EF1093" s="656"/>
      <c r="EG1093" s="656"/>
      <c r="EH1093" s="656"/>
      <c r="EI1093" s="656"/>
      <c r="EJ1093" s="656"/>
      <c r="EK1093" s="656"/>
      <c r="EL1093" s="656"/>
      <c r="EM1093" s="656"/>
      <c r="EN1093" s="656"/>
      <c r="EO1093" s="656"/>
      <c r="EP1093" s="656"/>
      <c r="EQ1093" s="656"/>
      <c r="ER1093" s="656"/>
      <c r="ES1093" s="656"/>
      <c r="ET1093" s="656"/>
      <c r="EU1093" s="656"/>
      <c r="EV1093" s="656"/>
      <c r="EW1093" s="656"/>
      <c r="EX1093" s="656"/>
      <c r="EY1093" s="656"/>
      <c r="EZ1093" s="656"/>
      <c r="FA1093" s="656"/>
      <c r="FB1093" s="656"/>
      <c r="FC1093" s="656"/>
      <c r="FD1093" s="656"/>
      <c r="FE1093" s="656"/>
      <c r="FF1093" s="656"/>
      <c r="FG1093" s="656"/>
      <c r="FH1093" s="656"/>
      <c r="FI1093" s="656"/>
      <c r="FJ1093" s="656"/>
      <c r="FK1093" s="656"/>
      <c r="FL1093" s="656"/>
      <c r="FM1093" s="656"/>
      <c r="FN1093" s="656"/>
      <c r="FO1093" s="656"/>
      <c r="FP1093" s="656"/>
      <c r="FQ1093" s="656"/>
      <c r="FR1093" s="656"/>
      <c r="FS1093" s="656"/>
      <c r="FT1093" s="656"/>
      <c r="FU1093" s="656"/>
      <c r="FV1093" s="656"/>
      <c r="FW1093" s="656"/>
      <c r="FX1093" s="656"/>
      <c r="FY1093" s="656"/>
      <c r="FZ1093" s="656"/>
      <c r="GA1093" s="656"/>
      <c r="GB1093" s="656"/>
      <c r="GC1093" s="656"/>
      <c r="GD1093" s="656"/>
      <c r="GE1093" s="656"/>
      <c r="GF1093" s="656"/>
      <c r="GG1093" s="656"/>
      <c r="GH1093" s="656"/>
      <c r="GI1093" s="656"/>
      <c r="GJ1093" s="656"/>
      <c r="GK1093" s="656"/>
      <c r="GL1093" s="656"/>
      <c r="GM1093" s="656"/>
      <c r="GN1093" s="656"/>
      <c r="GO1093" s="656"/>
      <c r="GP1093" s="656"/>
      <c r="GQ1093" s="656"/>
      <c r="GR1093" s="656"/>
      <c r="GS1093" s="656"/>
      <c r="GT1093" s="656"/>
      <c r="GU1093" s="656"/>
      <c r="GV1093" s="656"/>
      <c r="GW1093" s="656"/>
      <c r="GX1093" s="656"/>
      <c r="GY1093" s="656"/>
      <c r="GZ1093" s="656"/>
      <c r="HA1093" s="656"/>
      <c r="HB1093" s="656"/>
      <c r="HC1093" s="656"/>
      <c r="HD1093" s="656"/>
      <c r="HE1093" s="656"/>
      <c r="HF1093" s="656"/>
      <c r="HG1093" s="656"/>
      <c r="HH1093" s="656"/>
      <c r="HI1093" s="656"/>
      <c r="HJ1093" s="656"/>
      <c r="HK1093" s="656"/>
      <c r="HL1093" s="656"/>
      <c r="HM1093" s="656"/>
      <c r="HN1093" s="656"/>
      <c r="HO1093" s="656"/>
      <c r="HP1093" s="656"/>
      <c r="HQ1093" s="656"/>
      <c r="HR1093" s="656"/>
      <c r="HS1093" s="656"/>
      <c r="HT1093" s="656"/>
      <c r="HU1093" s="656"/>
      <c r="HV1093" s="656"/>
      <c r="HW1093" s="656"/>
      <c r="HX1093" s="656"/>
      <c r="HY1093" s="656"/>
      <c r="HZ1093" s="656"/>
      <c r="IA1093" s="656"/>
      <c r="IB1093" s="656"/>
      <c r="IC1093" s="656"/>
      <c r="ID1093" s="656"/>
      <c r="IE1093" s="656"/>
      <c r="IF1093" s="656"/>
      <c r="IG1093" s="656"/>
      <c r="IH1093" s="656"/>
      <c r="II1093" s="656"/>
      <c r="IJ1093" s="656"/>
      <c r="IK1093" s="656"/>
      <c r="IL1093" s="656"/>
      <c r="IM1093" s="656"/>
      <c r="IN1093" s="656"/>
      <c r="IO1093" s="656"/>
      <c r="IP1093" s="656"/>
      <c r="IQ1093" s="656"/>
      <c r="IR1093" s="656"/>
      <c r="IS1093" s="656"/>
      <c r="IT1093" s="656"/>
      <c r="IU1093" s="656"/>
      <c r="IV1093" s="656"/>
    </row>
    <row r="1094" spans="1:256" s="642" customFormat="1" x14ac:dyDescent="0.25">
      <c r="A1094" s="637"/>
      <c r="B1094" s="637"/>
      <c r="C1094" s="637" t="s">
        <v>1791</v>
      </c>
      <c r="D1094" s="639" t="s">
        <v>1792</v>
      </c>
      <c r="E1094" s="637"/>
      <c r="F1094" s="639"/>
      <c r="G1094" s="640"/>
      <c r="H1094" s="639"/>
      <c r="I1094" s="639"/>
      <c r="J1094" s="639"/>
      <c r="K1094" s="639"/>
      <c r="L1094" s="639"/>
      <c r="M1094" s="639"/>
      <c r="N1094" s="639"/>
      <c r="O1094" s="639"/>
      <c r="P1094" s="765">
        <f>SUM(P1096:P1147)</f>
        <v>37327.032216000007</v>
      </c>
      <c r="Q1094" s="656"/>
      <c r="R1094" s="656"/>
      <c r="S1094" s="656"/>
      <c r="T1094" s="656"/>
      <c r="U1094" s="656"/>
      <c r="V1094" s="656"/>
      <c r="W1094" s="656"/>
      <c r="X1094" s="656"/>
      <c r="Y1094" s="656"/>
      <c r="Z1094" s="656"/>
      <c r="AA1094" s="656"/>
      <c r="AB1094" s="656"/>
      <c r="AC1094" s="656"/>
      <c r="AD1094" s="656"/>
      <c r="AE1094" s="656"/>
      <c r="AF1094" s="656"/>
      <c r="AG1094" s="656"/>
      <c r="AH1094" s="656"/>
      <c r="AI1094" s="656"/>
      <c r="AJ1094" s="656"/>
      <c r="AK1094" s="656"/>
      <c r="AL1094" s="656"/>
      <c r="AM1094" s="656"/>
      <c r="AN1094" s="656"/>
      <c r="AO1094" s="656"/>
      <c r="AP1094" s="656"/>
      <c r="AQ1094" s="656"/>
      <c r="AR1094" s="656"/>
      <c r="AS1094" s="656"/>
      <c r="AT1094" s="656"/>
      <c r="AU1094" s="656"/>
      <c r="AV1094" s="656"/>
      <c r="AW1094" s="656"/>
      <c r="AX1094" s="656"/>
      <c r="AY1094" s="656"/>
      <c r="AZ1094" s="656"/>
      <c r="BA1094" s="656"/>
      <c r="BB1094" s="656"/>
      <c r="BC1094" s="656"/>
      <c r="BD1094" s="656"/>
      <c r="BE1094" s="656"/>
      <c r="BF1094" s="656"/>
      <c r="BG1094" s="656"/>
      <c r="BH1094" s="656"/>
      <c r="BI1094" s="656"/>
      <c r="BJ1094" s="656"/>
      <c r="BK1094" s="656"/>
      <c r="BL1094" s="656"/>
      <c r="BM1094" s="656"/>
      <c r="BN1094" s="656"/>
      <c r="BO1094" s="656"/>
      <c r="BP1094" s="656"/>
      <c r="BQ1094" s="656"/>
      <c r="BR1094" s="656"/>
      <c r="BS1094" s="656"/>
      <c r="BT1094" s="656"/>
      <c r="BU1094" s="656"/>
      <c r="BV1094" s="656"/>
      <c r="BW1094" s="656"/>
      <c r="BX1094" s="656"/>
      <c r="BY1094" s="656"/>
      <c r="BZ1094" s="656"/>
      <c r="CA1094" s="656"/>
      <c r="CB1094" s="656"/>
      <c r="CC1094" s="656"/>
      <c r="CD1094" s="656"/>
      <c r="CE1094" s="656"/>
      <c r="CF1094" s="656"/>
      <c r="CG1094" s="656"/>
      <c r="CH1094" s="656"/>
      <c r="CI1094" s="656"/>
      <c r="CJ1094" s="656"/>
      <c r="CK1094" s="656"/>
      <c r="CL1094" s="656"/>
      <c r="CM1094" s="656"/>
      <c r="CN1094" s="656"/>
      <c r="CO1094" s="656"/>
      <c r="CP1094" s="656"/>
      <c r="CQ1094" s="656"/>
      <c r="CR1094" s="656"/>
      <c r="CS1094" s="656"/>
      <c r="CT1094" s="656"/>
      <c r="CU1094" s="656"/>
      <c r="CV1094" s="656"/>
      <c r="CW1094" s="656"/>
      <c r="CX1094" s="656"/>
      <c r="CY1094" s="656"/>
      <c r="CZ1094" s="656"/>
      <c r="DA1094" s="656"/>
      <c r="DB1094" s="656"/>
      <c r="DC1094" s="656"/>
      <c r="DD1094" s="656"/>
      <c r="DE1094" s="656"/>
      <c r="DF1094" s="656"/>
      <c r="DG1094" s="656"/>
      <c r="DH1094" s="656"/>
      <c r="DI1094" s="656"/>
      <c r="DJ1094" s="656"/>
      <c r="DK1094" s="656"/>
      <c r="DL1094" s="656"/>
      <c r="DM1094" s="656"/>
      <c r="DN1094" s="656"/>
      <c r="DO1094" s="656"/>
      <c r="DP1094" s="656"/>
      <c r="DQ1094" s="656"/>
      <c r="DR1094" s="656"/>
      <c r="DS1094" s="656"/>
      <c r="DT1094" s="656"/>
      <c r="DU1094" s="656"/>
      <c r="DV1094" s="656"/>
      <c r="DW1094" s="656"/>
      <c r="DX1094" s="656"/>
      <c r="DY1094" s="656"/>
      <c r="DZ1094" s="656"/>
      <c r="EA1094" s="656"/>
      <c r="EB1094" s="656"/>
      <c r="EC1094" s="656"/>
      <c r="ED1094" s="656"/>
      <c r="EE1094" s="656"/>
      <c r="EF1094" s="656"/>
      <c r="EG1094" s="656"/>
      <c r="EH1094" s="656"/>
      <c r="EI1094" s="656"/>
      <c r="EJ1094" s="656"/>
      <c r="EK1094" s="656"/>
      <c r="EL1094" s="656"/>
      <c r="EM1094" s="656"/>
      <c r="EN1094" s="656"/>
      <c r="EO1094" s="656"/>
      <c r="EP1094" s="656"/>
      <c r="EQ1094" s="656"/>
      <c r="ER1094" s="656"/>
      <c r="ES1094" s="656"/>
      <c r="ET1094" s="656"/>
      <c r="EU1094" s="656"/>
      <c r="EV1094" s="656"/>
      <c r="EW1094" s="656"/>
      <c r="EX1094" s="656"/>
      <c r="EY1094" s="656"/>
      <c r="EZ1094" s="656"/>
      <c r="FA1094" s="656"/>
      <c r="FB1094" s="656"/>
      <c r="FC1094" s="656"/>
      <c r="FD1094" s="656"/>
      <c r="FE1094" s="656"/>
      <c r="FF1094" s="656"/>
      <c r="FG1094" s="656"/>
      <c r="FH1094" s="656"/>
      <c r="FI1094" s="656"/>
      <c r="FJ1094" s="656"/>
      <c r="FK1094" s="656"/>
      <c r="FL1094" s="656"/>
      <c r="FM1094" s="656"/>
      <c r="FN1094" s="656"/>
      <c r="FO1094" s="656"/>
      <c r="FP1094" s="656"/>
      <c r="FQ1094" s="656"/>
      <c r="FR1094" s="656"/>
      <c r="FS1094" s="656"/>
      <c r="FT1094" s="656"/>
      <c r="FU1094" s="656"/>
      <c r="FV1094" s="656"/>
      <c r="FW1094" s="656"/>
      <c r="FX1094" s="656"/>
      <c r="FY1094" s="656"/>
      <c r="FZ1094" s="656"/>
      <c r="GA1094" s="656"/>
      <c r="GB1094" s="656"/>
      <c r="GC1094" s="656"/>
      <c r="GD1094" s="656"/>
      <c r="GE1094" s="656"/>
      <c r="GF1094" s="656"/>
      <c r="GG1094" s="656"/>
      <c r="GH1094" s="656"/>
      <c r="GI1094" s="656"/>
      <c r="GJ1094" s="656"/>
      <c r="GK1094" s="656"/>
      <c r="GL1094" s="656"/>
      <c r="GM1094" s="656"/>
      <c r="GN1094" s="656"/>
      <c r="GO1094" s="656"/>
      <c r="GP1094" s="656"/>
      <c r="GQ1094" s="656"/>
      <c r="GR1094" s="656"/>
      <c r="GS1094" s="656"/>
      <c r="GT1094" s="656"/>
      <c r="GU1094" s="656"/>
      <c r="GV1094" s="656"/>
      <c r="GW1094" s="656"/>
      <c r="GX1094" s="656"/>
      <c r="GY1094" s="656"/>
      <c r="GZ1094" s="656"/>
      <c r="HA1094" s="656"/>
      <c r="HB1094" s="656"/>
      <c r="HC1094" s="656"/>
      <c r="HD1094" s="656"/>
      <c r="HE1094" s="656"/>
      <c r="HF1094" s="656"/>
      <c r="HG1094" s="656"/>
      <c r="HH1094" s="656"/>
      <c r="HI1094" s="656"/>
      <c r="HJ1094" s="656"/>
      <c r="HK1094" s="656"/>
      <c r="HL1094" s="656"/>
      <c r="HM1094" s="656"/>
      <c r="HN1094" s="656"/>
      <c r="HO1094" s="656"/>
      <c r="HP1094" s="656"/>
      <c r="HQ1094" s="656"/>
      <c r="HR1094" s="656"/>
      <c r="HS1094" s="656"/>
      <c r="HT1094" s="656"/>
      <c r="HU1094" s="656"/>
      <c r="HV1094" s="656"/>
      <c r="HW1094" s="656"/>
      <c r="HX1094" s="656"/>
      <c r="HY1094" s="656"/>
      <c r="HZ1094" s="656"/>
      <c r="IA1094" s="656"/>
      <c r="IB1094" s="656"/>
      <c r="IC1094" s="656"/>
      <c r="ID1094" s="656"/>
      <c r="IE1094" s="656"/>
      <c r="IF1094" s="656"/>
      <c r="IG1094" s="656"/>
      <c r="IH1094" s="656"/>
      <c r="II1094" s="656"/>
      <c r="IJ1094" s="656"/>
      <c r="IK1094" s="656"/>
      <c r="IL1094" s="656"/>
      <c r="IM1094" s="656"/>
      <c r="IN1094" s="656"/>
      <c r="IO1094" s="656"/>
      <c r="IP1094" s="656"/>
      <c r="IQ1094" s="656"/>
      <c r="IR1094" s="656"/>
      <c r="IS1094" s="656"/>
      <c r="IT1094" s="656"/>
      <c r="IU1094" s="656"/>
      <c r="IV1094" s="656"/>
    </row>
    <row r="1095" spans="1:256" s="642" customFormat="1" ht="10.5" customHeight="1" x14ac:dyDescent="0.25">
      <c r="A1095" s="659"/>
      <c r="B1095" s="659"/>
      <c r="C1095" s="659"/>
      <c r="D1095" s="658"/>
      <c r="E1095" s="659"/>
      <c r="F1095" s="733"/>
      <c r="G1095" s="734"/>
      <c r="H1095" s="733"/>
      <c r="I1095" s="733"/>
      <c r="J1095" s="733"/>
      <c r="K1095" s="733"/>
      <c r="L1095" s="734"/>
      <c r="M1095" s="734"/>
      <c r="N1095" s="734"/>
      <c r="O1095" s="734"/>
      <c r="P1095" s="734"/>
      <c r="Q1095" s="656"/>
      <c r="R1095" s="656"/>
      <c r="S1095" s="656"/>
      <c r="T1095" s="656"/>
      <c r="U1095" s="656"/>
      <c r="V1095" s="656"/>
      <c r="W1095" s="656"/>
      <c r="X1095" s="656"/>
      <c r="Y1095" s="656"/>
      <c r="Z1095" s="656"/>
      <c r="AA1095" s="656"/>
      <c r="AB1095" s="656"/>
      <c r="AC1095" s="656"/>
      <c r="AD1095" s="656"/>
      <c r="AE1095" s="656"/>
      <c r="AF1095" s="656"/>
      <c r="AG1095" s="656"/>
      <c r="AH1095" s="656"/>
      <c r="AI1095" s="656"/>
      <c r="AJ1095" s="656"/>
      <c r="AK1095" s="656"/>
      <c r="AL1095" s="656"/>
      <c r="AM1095" s="656"/>
      <c r="AN1095" s="656"/>
      <c r="AO1095" s="656"/>
      <c r="AP1095" s="656"/>
      <c r="AQ1095" s="656"/>
      <c r="AR1095" s="656"/>
      <c r="AS1095" s="656"/>
      <c r="AT1095" s="656"/>
      <c r="AU1095" s="656"/>
      <c r="AV1095" s="656"/>
      <c r="AW1095" s="656"/>
      <c r="AX1095" s="656"/>
      <c r="AY1095" s="656"/>
      <c r="AZ1095" s="656"/>
      <c r="BA1095" s="656"/>
      <c r="BB1095" s="656"/>
      <c r="BC1095" s="656"/>
      <c r="BD1095" s="656"/>
      <c r="BE1095" s="656"/>
      <c r="BF1095" s="656"/>
      <c r="BG1095" s="656"/>
      <c r="BH1095" s="656"/>
      <c r="BI1095" s="656"/>
      <c r="BJ1095" s="656"/>
      <c r="BK1095" s="656"/>
      <c r="BL1095" s="656"/>
      <c r="BM1095" s="656"/>
      <c r="BN1095" s="656"/>
      <c r="BO1095" s="656"/>
      <c r="BP1095" s="656"/>
      <c r="BQ1095" s="656"/>
      <c r="BR1095" s="656"/>
      <c r="BS1095" s="656"/>
      <c r="BT1095" s="656"/>
      <c r="BU1095" s="656"/>
      <c r="BV1095" s="656"/>
      <c r="BW1095" s="656"/>
      <c r="BX1095" s="656"/>
      <c r="BY1095" s="656"/>
      <c r="BZ1095" s="656"/>
      <c r="CA1095" s="656"/>
      <c r="CB1095" s="656"/>
      <c r="CC1095" s="656"/>
      <c r="CD1095" s="656"/>
      <c r="CE1095" s="656"/>
      <c r="CF1095" s="656"/>
      <c r="CG1095" s="656"/>
      <c r="CH1095" s="656"/>
      <c r="CI1095" s="656"/>
      <c r="CJ1095" s="656"/>
      <c r="CK1095" s="656"/>
      <c r="CL1095" s="656"/>
      <c r="CM1095" s="656"/>
      <c r="CN1095" s="656"/>
      <c r="CO1095" s="656"/>
      <c r="CP1095" s="656"/>
      <c r="CQ1095" s="656"/>
      <c r="CR1095" s="656"/>
      <c r="CS1095" s="656"/>
      <c r="CT1095" s="656"/>
      <c r="CU1095" s="656"/>
      <c r="CV1095" s="656"/>
      <c r="CW1095" s="656"/>
      <c r="CX1095" s="656"/>
      <c r="CY1095" s="656"/>
      <c r="CZ1095" s="656"/>
      <c r="DA1095" s="656"/>
      <c r="DB1095" s="656"/>
      <c r="DC1095" s="656"/>
      <c r="DD1095" s="656"/>
      <c r="DE1095" s="656"/>
      <c r="DF1095" s="656"/>
      <c r="DG1095" s="656"/>
      <c r="DH1095" s="656"/>
      <c r="DI1095" s="656"/>
      <c r="DJ1095" s="656"/>
      <c r="DK1095" s="656"/>
      <c r="DL1095" s="656"/>
      <c r="DM1095" s="656"/>
      <c r="DN1095" s="656"/>
      <c r="DO1095" s="656"/>
      <c r="DP1095" s="656"/>
      <c r="DQ1095" s="656"/>
      <c r="DR1095" s="656"/>
      <c r="DS1095" s="656"/>
      <c r="DT1095" s="656"/>
      <c r="DU1095" s="656"/>
      <c r="DV1095" s="656"/>
      <c r="DW1095" s="656"/>
      <c r="DX1095" s="656"/>
      <c r="DY1095" s="656"/>
      <c r="DZ1095" s="656"/>
      <c r="EA1095" s="656"/>
      <c r="EB1095" s="656"/>
      <c r="EC1095" s="656"/>
      <c r="ED1095" s="656"/>
      <c r="EE1095" s="656"/>
      <c r="EF1095" s="656"/>
      <c r="EG1095" s="656"/>
      <c r="EH1095" s="656"/>
      <c r="EI1095" s="656"/>
      <c r="EJ1095" s="656"/>
      <c r="EK1095" s="656"/>
      <c r="EL1095" s="656"/>
      <c r="EM1095" s="656"/>
      <c r="EN1095" s="656"/>
      <c r="EO1095" s="656"/>
      <c r="EP1095" s="656"/>
      <c r="EQ1095" s="656"/>
      <c r="ER1095" s="656"/>
      <c r="ES1095" s="656"/>
      <c r="ET1095" s="656"/>
      <c r="EU1095" s="656"/>
      <c r="EV1095" s="656"/>
      <c r="EW1095" s="656"/>
      <c r="EX1095" s="656"/>
      <c r="EY1095" s="656"/>
      <c r="EZ1095" s="656"/>
      <c r="FA1095" s="656"/>
      <c r="FB1095" s="656"/>
      <c r="FC1095" s="656"/>
      <c r="FD1095" s="656"/>
      <c r="FE1095" s="656"/>
      <c r="FF1095" s="656"/>
      <c r="FG1095" s="656"/>
      <c r="FH1095" s="656"/>
      <c r="FI1095" s="656"/>
      <c r="FJ1095" s="656"/>
      <c r="FK1095" s="656"/>
      <c r="FL1095" s="656"/>
      <c r="FM1095" s="656"/>
      <c r="FN1095" s="656"/>
      <c r="FO1095" s="656"/>
      <c r="FP1095" s="656"/>
      <c r="FQ1095" s="656"/>
      <c r="FR1095" s="656"/>
      <c r="FS1095" s="656"/>
      <c r="FT1095" s="656"/>
      <c r="FU1095" s="656"/>
      <c r="FV1095" s="656"/>
      <c r="FW1095" s="656"/>
      <c r="FX1095" s="656"/>
      <c r="FY1095" s="656"/>
      <c r="FZ1095" s="656"/>
      <c r="GA1095" s="656"/>
      <c r="GB1095" s="656"/>
      <c r="GC1095" s="656"/>
      <c r="GD1095" s="656"/>
      <c r="GE1095" s="656"/>
      <c r="GF1095" s="656"/>
      <c r="GG1095" s="656"/>
      <c r="GH1095" s="656"/>
      <c r="GI1095" s="656"/>
      <c r="GJ1095" s="656"/>
      <c r="GK1095" s="656"/>
      <c r="GL1095" s="656"/>
      <c r="GM1095" s="656"/>
      <c r="GN1095" s="656"/>
      <c r="GO1095" s="656"/>
      <c r="GP1095" s="656"/>
      <c r="GQ1095" s="656"/>
      <c r="GR1095" s="656"/>
      <c r="GS1095" s="656"/>
      <c r="GT1095" s="656"/>
      <c r="GU1095" s="656"/>
      <c r="GV1095" s="656"/>
      <c r="GW1095" s="656"/>
      <c r="GX1095" s="656"/>
      <c r="GY1095" s="656"/>
      <c r="GZ1095" s="656"/>
      <c r="HA1095" s="656"/>
      <c r="HB1095" s="656"/>
      <c r="HC1095" s="656"/>
      <c r="HD1095" s="656"/>
      <c r="HE1095" s="656"/>
      <c r="HF1095" s="656"/>
      <c r="HG1095" s="656"/>
      <c r="HH1095" s="656"/>
      <c r="HI1095" s="656"/>
      <c r="HJ1095" s="656"/>
      <c r="HK1095" s="656"/>
      <c r="HL1095" s="656"/>
      <c r="HM1095" s="656"/>
      <c r="HN1095" s="656"/>
      <c r="HO1095" s="656"/>
      <c r="HP1095" s="656"/>
      <c r="HQ1095" s="656"/>
      <c r="HR1095" s="656"/>
      <c r="HS1095" s="656"/>
      <c r="HT1095" s="656"/>
      <c r="HU1095" s="656"/>
      <c r="HV1095" s="656"/>
      <c r="HW1095" s="656"/>
      <c r="HX1095" s="656"/>
      <c r="HY1095" s="656"/>
      <c r="HZ1095" s="656"/>
      <c r="IA1095" s="656"/>
      <c r="IB1095" s="656"/>
      <c r="IC1095" s="656"/>
      <c r="ID1095" s="656"/>
      <c r="IE1095" s="656"/>
      <c r="IF1095" s="656"/>
      <c r="IG1095" s="656"/>
      <c r="IH1095" s="656"/>
      <c r="II1095" s="656"/>
      <c r="IJ1095" s="656"/>
      <c r="IK1095" s="656"/>
      <c r="IL1095" s="656"/>
      <c r="IM1095" s="656"/>
      <c r="IN1095" s="656"/>
      <c r="IO1095" s="656"/>
      <c r="IP1095" s="656"/>
      <c r="IQ1095" s="656"/>
      <c r="IR1095" s="656"/>
      <c r="IS1095" s="656"/>
      <c r="IT1095" s="656"/>
      <c r="IU1095" s="656"/>
      <c r="IV1095" s="656"/>
    </row>
    <row r="1096" spans="1:256" s="642" customFormat="1" ht="24" x14ac:dyDescent="0.25">
      <c r="A1096" s="675"/>
      <c r="B1096" s="675"/>
      <c r="C1096" s="675" t="s">
        <v>1793</v>
      </c>
      <c r="D1096" s="620" t="s">
        <v>1794</v>
      </c>
      <c r="E1096" s="675" t="s">
        <v>251</v>
      </c>
      <c r="F1096" s="620"/>
      <c r="G1096" s="622"/>
      <c r="H1096" s="620">
        <v>32</v>
      </c>
      <c r="I1096" s="677">
        <f>SUM(I1097:I1099)</f>
        <v>199</v>
      </c>
      <c r="J1096" s="677">
        <f>SUM(J1097:J1099)</f>
        <v>25.85</v>
      </c>
      <c r="K1096" s="665">
        <f>I1096+J1096</f>
        <v>224.85</v>
      </c>
      <c r="L1096" s="622">
        <f>H1096*I1096</f>
        <v>6368</v>
      </c>
      <c r="M1096" s="622">
        <f>H1096*J1096</f>
        <v>827.2</v>
      </c>
      <c r="N1096" s="622">
        <f>L1096+M1096</f>
        <v>7195.2</v>
      </c>
      <c r="O1096" s="622">
        <f>N1096*$P$4</f>
        <v>1767.14112</v>
      </c>
      <c r="P1096" s="622">
        <f>N1096+O1096</f>
        <v>8962.3411199999991</v>
      </c>
      <c r="Q1096" s="609"/>
      <c r="R1096" s="609"/>
      <c r="S1096" s="609"/>
      <c r="T1096" s="609"/>
      <c r="U1096" s="609"/>
      <c r="V1096" s="609"/>
      <c r="W1096" s="609"/>
      <c r="X1096" s="609"/>
      <c r="Y1096" s="609"/>
      <c r="Z1096" s="609"/>
      <c r="AA1096" s="609"/>
      <c r="AB1096" s="609"/>
      <c r="AC1096" s="609"/>
      <c r="AD1096" s="609"/>
      <c r="AE1096" s="609"/>
      <c r="AF1096" s="609"/>
      <c r="AG1096" s="609"/>
      <c r="AH1096" s="609"/>
      <c r="AI1096" s="609"/>
      <c r="AJ1096" s="609"/>
      <c r="AK1096" s="609"/>
      <c r="AL1096" s="609"/>
      <c r="AM1096" s="609"/>
      <c r="AN1096" s="609"/>
      <c r="AO1096" s="609"/>
      <c r="AP1096" s="609"/>
      <c r="AQ1096" s="609"/>
      <c r="AR1096" s="609"/>
      <c r="AS1096" s="609"/>
      <c r="AT1096" s="609"/>
      <c r="AU1096" s="609"/>
      <c r="AV1096" s="609"/>
      <c r="AW1096" s="609"/>
      <c r="AX1096" s="609"/>
      <c r="AY1096" s="609"/>
      <c r="AZ1096" s="609"/>
      <c r="BA1096" s="609"/>
      <c r="BB1096" s="609"/>
      <c r="BC1096" s="609"/>
      <c r="BD1096" s="609"/>
      <c r="BE1096" s="609"/>
      <c r="BF1096" s="609"/>
      <c r="BG1096" s="609"/>
      <c r="BH1096" s="609"/>
      <c r="BI1096" s="609"/>
      <c r="BJ1096" s="609"/>
      <c r="BK1096" s="609"/>
      <c r="BL1096" s="609"/>
      <c r="BM1096" s="609"/>
      <c r="BN1096" s="609"/>
      <c r="BO1096" s="609"/>
      <c r="BP1096" s="609"/>
      <c r="BQ1096" s="609"/>
      <c r="BR1096" s="609"/>
      <c r="BS1096" s="609"/>
      <c r="BT1096" s="609"/>
      <c r="BU1096" s="609"/>
      <c r="BV1096" s="609"/>
      <c r="BW1096" s="609"/>
      <c r="BX1096" s="609"/>
      <c r="BY1096" s="609"/>
      <c r="BZ1096" s="609"/>
      <c r="CA1096" s="609"/>
      <c r="CB1096" s="609"/>
      <c r="CC1096" s="609"/>
      <c r="CD1096" s="609"/>
      <c r="CE1096" s="609"/>
      <c r="CF1096" s="609"/>
      <c r="CG1096" s="609"/>
      <c r="CH1096" s="609"/>
      <c r="CI1096" s="609"/>
      <c r="CJ1096" s="609"/>
      <c r="CK1096" s="609"/>
      <c r="CL1096" s="609"/>
      <c r="CM1096" s="609"/>
      <c r="CN1096" s="609"/>
      <c r="CO1096" s="609"/>
      <c r="CP1096" s="609"/>
      <c r="CQ1096" s="609"/>
      <c r="CR1096" s="609"/>
      <c r="CS1096" s="609"/>
      <c r="CT1096" s="609"/>
      <c r="CU1096" s="609"/>
      <c r="CV1096" s="609"/>
      <c r="CW1096" s="609"/>
      <c r="CX1096" s="609"/>
      <c r="CY1096" s="609"/>
      <c r="CZ1096" s="609"/>
      <c r="DA1096" s="609"/>
      <c r="DB1096" s="609"/>
      <c r="DC1096" s="609"/>
      <c r="DD1096" s="609"/>
      <c r="DE1096" s="609"/>
      <c r="DF1096" s="609"/>
      <c r="DG1096" s="609"/>
      <c r="DH1096" s="609"/>
      <c r="DI1096" s="609"/>
      <c r="DJ1096" s="609"/>
      <c r="DK1096" s="609"/>
      <c r="DL1096" s="609"/>
      <c r="DM1096" s="609"/>
      <c r="DN1096" s="609"/>
      <c r="DO1096" s="609"/>
      <c r="DP1096" s="609"/>
      <c r="DQ1096" s="609"/>
      <c r="DR1096" s="609"/>
      <c r="DS1096" s="609"/>
      <c r="DT1096" s="609"/>
      <c r="DU1096" s="609"/>
      <c r="DV1096" s="609"/>
      <c r="DW1096" s="609"/>
      <c r="DX1096" s="609"/>
      <c r="DY1096" s="609"/>
      <c r="DZ1096" s="609"/>
      <c r="EA1096" s="609"/>
      <c r="EB1096" s="609"/>
      <c r="EC1096" s="609"/>
      <c r="ED1096" s="609"/>
      <c r="EE1096" s="609"/>
      <c r="EF1096" s="609"/>
      <c r="EG1096" s="609"/>
      <c r="EH1096" s="609"/>
      <c r="EI1096" s="609"/>
      <c r="EJ1096" s="609"/>
      <c r="EK1096" s="609"/>
      <c r="EL1096" s="609"/>
      <c r="EM1096" s="609"/>
      <c r="EN1096" s="609"/>
      <c r="EO1096" s="609"/>
      <c r="EP1096" s="609"/>
      <c r="EQ1096" s="609"/>
      <c r="ER1096" s="609"/>
      <c r="ES1096" s="609"/>
      <c r="ET1096" s="609"/>
      <c r="EU1096" s="609"/>
      <c r="EV1096" s="609"/>
      <c r="EW1096" s="609"/>
      <c r="EX1096" s="609"/>
      <c r="EY1096" s="609"/>
      <c r="EZ1096" s="609"/>
      <c r="FA1096" s="609"/>
      <c r="FB1096" s="609"/>
      <c r="FC1096" s="609"/>
      <c r="FD1096" s="609"/>
      <c r="FE1096" s="609"/>
      <c r="FF1096" s="609"/>
      <c r="FG1096" s="609"/>
      <c r="FH1096" s="609"/>
      <c r="FI1096" s="609"/>
      <c r="FJ1096" s="609"/>
      <c r="FK1096" s="609"/>
      <c r="FL1096" s="609"/>
      <c r="FM1096" s="609"/>
      <c r="FN1096" s="609"/>
      <c r="FO1096" s="609"/>
      <c r="FP1096" s="609"/>
      <c r="FQ1096" s="609"/>
      <c r="FR1096" s="609"/>
      <c r="FS1096" s="609"/>
      <c r="FT1096" s="609"/>
      <c r="FU1096" s="609"/>
      <c r="FV1096" s="609"/>
      <c r="FW1096" s="609"/>
      <c r="FX1096" s="609"/>
      <c r="FY1096" s="609"/>
      <c r="FZ1096" s="609"/>
      <c r="GA1096" s="609"/>
      <c r="GB1096" s="609"/>
      <c r="GC1096" s="609"/>
      <c r="GD1096" s="609"/>
      <c r="GE1096" s="609"/>
      <c r="GF1096" s="609"/>
      <c r="GG1096" s="609"/>
      <c r="GH1096" s="609"/>
      <c r="GI1096" s="609"/>
      <c r="GJ1096" s="609"/>
      <c r="GK1096" s="609"/>
      <c r="GL1096" s="609"/>
      <c r="GM1096" s="609"/>
      <c r="GN1096" s="609"/>
      <c r="GO1096" s="609"/>
      <c r="GP1096" s="609"/>
      <c r="GQ1096" s="609"/>
      <c r="GR1096" s="609"/>
      <c r="GS1096" s="609"/>
      <c r="GT1096" s="609"/>
      <c r="GU1096" s="609"/>
      <c r="GV1096" s="609"/>
      <c r="GW1096" s="609"/>
      <c r="GX1096" s="609"/>
      <c r="GY1096" s="609"/>
      <c r="GZ1096" s="609"/>
      <c r="HA1096" s="609"/>
      <c r="HB1096" s="609"/>
      <c r="HC1096" s="609"/>
      <c r="HD1096" s="609"/>
      <c r="HE1096" s="609"/>
      <c r="HF1096" s="609"/>
      <c r="HG1096" s="609"/>
      <c r="HH1096" s="609"/>
      <c r="HI1096" s="609"/>
      <c r="HJ1096" s="609"/>
      <c r="HK1096" s="609"/>
      <c r="HL1096" s="609"/>
      <c r="HM1096" s="609"/>
      <c r="HN1096" s="609"/>
      <c r="HO1096" s="609"/>
      <c r="HP1096" s="609"/>
      <c r="HQ1096" s="609"/>
      <c r="HR1096" s="609"/>
      <c r="HS1096" s="609"/>
      <c r="HT1096" s="609"/>
      <c r="HU1096" s="609"/>
      <c r="HV1096" s="609"/>
      <c r="HW1096" s="609"/>
      <c r="HX1096" s="609"/>
      <c r="HY1096" s="609"/>
      <c r="HZ1096" s="609"/>
      <c r="IA1096" s="609"/>
      <c r="IB1096" s="609"/>
      <c r="IC1096" s="609"/>
      <c r="ID1096" s="609"/>
      <c r="IE1096" s="609"/>
      <c r="IF1096" s="609"/>
      <c r="IG1096" s="609"/>
      <c r="IH1096" s="609"/>
      <c r="II1096" s="609"/>
      <c r="IJ1096" s="609"/>
      <c r="IK1096" s="609"/>
      <c r="IL1096" s="609"/>
      <c r="IM1096" s="609"/>
      <c r="IN1096" s="609"/>
      <c r="IO1096" s="609"/>
      <c r="IP1096" s="609"/>
      <c r="IQ1096" s="609"/>
      <c r="IR1096" s="609"/>
      <c r="IS1096" s="609"/>
      <c r="IT1096" s="609"/>
      <c r="IU1096" s="609"/>
      <c r="IV1096" s="609"/>
    </row>
    <row r="1097" spans="1:256" s="642" customFormat="1" ht="24" x14ac:dyDescent="0.25">
      <c r="A1097" s="634" t="s">
        <v>1705</v>
      </c>
      <c r="B1097" s="679"/>
      <c r="C1097" s="636"/>
      <c r="D1097" s="726" t="s">
        <v>1794</v>
      </c>
      <c r="E1097" s="636" t="s">
        <v>251</v>
      </c>
      <c r="F1097" s="612">
        <v>1</v>
      </c>
      <c r="G1097" s="694">
        <v>199</v>
      </c>
      <c r="H1097" s="612"/>
      <c r="I1097" s="695">
        <f>ROUND(F1097*G1097,2)</f>
        <v>199</v>
      </c>
      <c r="J1097" s="695" t="s">
        <v>1207</v>
      </c>
      <c r="K1097" s="695"/>
      <c r="L1097" s="695"/>
      <c r="M1097" s="695"/>
      <c r="N1097" s="695"/>
      <c r="O1097" s="695"/>
      <c r="P1097" s="695"/>
      <c r="Q1097" s="609"/>
      <c r="R1097" s="609"/>
      <c r="S1097" s="609"/>
      <c r="T1097" s="609"/>
      <c r="U1097" s="609"/>
      <c r="V1097" s="609"/>
      <c r="W1097" s="609"/>
      <c r="X1097" s="609"/>
      <c r="Y1097" s="609"/>
      <c r="Z1097" s="609"/>
      <c r="AA1097" s="609"/>
      <c r="AB1097" s="609"/>
      <c r="AC1097" s="609"/>
      <c r="AD1097" s="609"/>
      <c r="AE1097" s="609"/>
      <c r="AF1097" s="609"/>
      <c r="AG1097" s="609"/>
      <c r="AH1097" s="609"/>
      <c r="AI1097" s="609"/>
      <c r="AJ1097" s="609"/>
      <c r="AK1097" s="609"/>
      <c r="AL1097" s="609"/>
      <c r="AM1097" s="609"/>
      <c r="AN1097" s="609"/>
      <c r="AO1097" s="609"/>
      <c r="AP1097" s="609"/>
      <c r="AQ1097" s="609"/>
      <c r="AR1097" s="609"/>
      <c r="AS1097" s="609"/>
      <c r="AT1097" s="609"/>
      <c r="AU1097" s="609"/>
      <c r="AV1097" s="609"/>
      <c r="AW1097" s="609"/>
      <c r="AX1097" s="609"/>
      <c r="AY1097" s="609"/>
      <c r="AZ1097" s="609"/>
      <c r="BA1097" s="609"/>
      <c r="BB1097" s="609"/>
      <c r="BC1097" s="609"/>
      <c r="BD1097" s="609"/>
      <c r="BE1097" s="609"/>
      <c r="BF1097" s="609"/>
      <c r="BG1097" s="609"/>
      <c r="BH1097" s="609"/>
      <c r="BI1097" s="609"/>
      <c r="BJ1097" s="609"/>
      <c r="BK1097" s="609"/>
      <c r="BL1097" s="609"/>
      <c r="BM1097" s="609"/>
      <c r="BN1097" s="609"/>
      <c r="BO1097" s="609"/>
      <c r="BP1097" s="609"/>
      <c r="BQ1097" s="609"/>
      <c r="BR1097" s="609"/>
      <c r="BS1097" s="609"/>
      <c r="BT1097" s="609"/>
      <c r="BU1097" s="609"/>
      <c r="BV1097" s="609"/>
      <c r="BW1097" s="609"/>
      <c r="BX1097" s="609"/>
      <c r="BY1097" s="609"/>
      <c r="BZ1097" s="609"/>
      <c r="CA1097" s="609"/>
      <c r="CB1097" s="609"/>
      <c r="CC1097" s="609"/>
      <c r="CD1097" s="609"/>
      <c r="CE1097" s="609"/>
      <c r="CF1097" s="609"/>
      <c r="CG1097" s="609"/>
      <c r="CH1097" s="609"/>
      <c r="CI1097" s="609"/>
      <c r="CJ1097" s="609"/>
      <c r="CK1097" s="609"/>
      <c r="CL1097" s="609"/>
      <c r="CM1097" s="609"/>
      <c r="CN1097" s="609"/>
      <c r="CO1097" s="609"/>
      <c r="CP1097" s="609"/>
      <c r="CQ1097" s="609"/>
      <c r="CR1097" s="609"/>
      <c r="CS1097" s="609"/>
      <c r="CT1097" s="609"/>
      <c r="CU1097" s="609"/>
      <c r="CV1097" s="609"/>
      <c r="CW1097" s="609"/>
      <c r="CX1097" s="609"/>
      <c r="CY1097" s="609"/>
      <c r="CZ1097" s="609"/>
      <c r="DA1097" s="609"/>
      <c r="DB1097" s="609"/>
      <c r="DC1097" s="609"/>
      <c r="DD1097" s="609"/>
      <c r="DE1097" s="609"/>
      <c r="DF1097" s="609"/>
      <c r="DG1097" s="609"/>
      <c r="DH1097" s="609"/>
      <c r="DI1097" s="609"/>
      <c r="DJ1097" s="609"/>
      <c r="DK1097" s="609"/>
      <c r="DL1097" s="609"/>
      <c r="DM1097" s="609"/>
      <c r="DN1097" s="609"/>
      <c r="DO1097" s="609"/>
      <c r="DP1097" s="609"/>
      <c r="DQ1097" s="609"/>
      <c r="DR1097" s="609"/>
      <c r="DS1097" s="609"/>
      <c r="DT1097" s="609"/>
      <c r="DU1097" s="609"/>
      <c r="DV1097" s="609"/>
      <c r="DW1097" s="609"/>
      <c r="DX1097" s="609"/>
      <c r="DY1097" s="609"/>
      <c r="DZ1097" s="609"/>
      <c r="EA1097" s="609"/>
      <c r="EB1097" s="609"/>
      <c r="EC1097" s="609"/>
      <c r="ED1097" s="609"/>
      <c r="EE1097" s="609"/>
      <c r="EF1097" s="609"/>
      <c r="EG1097" s="609"/>
      <c r="EH1097" s="609"/>
      <c r="EI1097" s="609"/>
      <c r="EJ1097" s="609"/>
      <c r="EK1097" s="609"/>
      <c r="EL1097" s="609"/>
      <c r="EM1097" s="609"/>
      <c r="EN1097" s="609"/>
      <c r="EO1097" s="609"/>
      <c r="EP1097" s="609"/>
      <c r="EQ1097" s="609"/>
      <c r="ER1097" s="609"/>
      <c r="ES1097" s="609"/>
      <c r="ET1097" s="609"/>
      <c r="EU1097" s="609"/>
      <c r="EV1097" s="609"/>
      <c r="EW1097" s="609"/>
      <c r="EX1097" s="609"/>
      <c r="EY1097" s="609"/>
      <c r="EZ1097" s="609"/>
      <c r="FA1097" s="609"/>
      <c r="FB1097" s="609"/>
      <c r="FC1097" s="609"/>
      <c r="FD1097" s="609"/>
      <c r="FE1097" s="609"/>
      <c r="FF1097" s="609"/>
      <c r="FG1097" s="609"/>
      <c r="FH1097" s="609"/>
      <c r="FI1097" s="609"/>
      <c r="FJ1097" s="609"/>
      <c r="FK1097" s="609"/>
      <c r="FL1097" s="609"/>
      <c r="FM1097" s="609"/>
      <c r="FN1097" s="609"/>
      <c r="FO1097" s="609"/>
      <c r="FP1097" s="609"/>
      <c r="FQ1097" s="609"/>
      <c r="FR1097" s="609"/>
      <c r="FS1097" s="609"/>
      <c r="FT1097" s="609"/>
      <c r="FU1097" s="609"/>
      <c r="FV1097" s="609"/>
      <c r="FW1097" s="609"/>
      <c r="FX1097" s="609"/>
      <c r="FY1097" s="609"/>
      <c r="FZ1097" s="609"/>
      <c r="GA1097" s="609"/>
      <c r="GB1097" s="609"/>
      <c r="GC1097" s="609"/>
      <c r="GD1097" s="609"/>
      <c r="GE1097" s="609"/>
      <c r="GF1097" s="609"/>
      <c r="GG1097" s="609"/>
      <c r="GH1097" s="609"/>
      <c r="GI1097" s="609"/>
      <c r="GJ1097" s="609"/>
      <c r="GK1097" s="609"/>
      <c r="GL1097" s="609"/>
      <c r="GM1097" s="609"/>
      <c r="GN1097" s="609"/>
      <c r="GO1097" s="609"/>
      <c r="GP1097" s="609"/>
      <c r="GQ1097" s="609"/>
      <c r="GR1097" s="609"/>
      <c r="GS1097" s="609"/>
      <c r="GT1097" s="609"/>
      <c r="GU1097" s="609"/>
      <c r="GV1097" s="609"/>
      <c r="GW1097" s="609"/>
      <c r="GX1097" s="609"/>
      <c r="GY1097" s="609"/>
      <c r="GZ1097" s="609"/>
      <c r="HA1097" s="609"/>
      <c r="HB1097" s="609"/>
      <c r="HC1097" s="609"/>
      <c r="HD1097" s="609"/>
      <c r="HE1097" s="609"/>
      <c r="HF1097" s="609"/>
      <c r="HG1097" s="609"/>
      <c r="HH1097" s="609"/>
      <c r="HI1097" s="609"/>
      <c r="HJ1097" s="609"/>
      <c r="HK1097" s="609"/>
      <c r="HL1097" s="609"/>
      <c r="HM1097" s="609"/>
      <c r="HN1097" s="609"/>
      <c r="HO1097" s="609"/>
      <c r="HP1097" s="609"/>
      <c r="HQ1097" s="609"/>
      <c r="HR1097" s="609"/>
      <c r="HS1097" s="609"/>
      <c r="HT1097" s="609"/>
      <c r="HU1097" s="609"/>
      <c r="HV1097" s="609"/>
      <c r="HW1097" s="609"/>
      <c r="HX1097" s="609"/>
      <c r="HY1097" s="609"/>
      <c r="HZ1097" s="609"/>
      <c r="IA1097" s="609"/>
      <c r="IB1097" s="609"/>
      <c r="IC1097" s="609"/>
      <c r="ID1097" s="609"/>
      <c r="IE1097" s="609"/>
      <c r="IF1097" s="609"/>
      <c r="IG1097" s="609"/>
      <c r="IH1097" s="609"/>
      <c r="II1097" s="609"/>
      <c r="IJ1097" s="609"/>
      <c r="IK1097" s="609"/>
      <c r="IL1097" s="609"/>
      <c r="IM1097" s="609"/>
      <c r="IN1097" s="609"/>
      <c r="IO1097" s="609"/>
      <c r="IP1097" s="609"/>
      <c r="IQ1097" s="609"/>
      <c r="IR1097" s="609"/>
      <c r="IS1097" s="609"/>
      <c r="IT1097" s="609"/>
      <c r="IU1097" s="609"/>
      <c r="IV1097" s="609"/>
    </row>
    <row r="1098" spans="1:256" s="642" customFormat="1" x14ac:dyDescent="0.25">
      <c r="A1098" s="634" t="s">
        <v>277</v>
      </c>
      <c r="B1098" s="634">
        <v>2439</v>
      </c>
      <c r="C1098" s="636"/>
      <c r="D1098" s="612" t="s">
        <v>1707</v>
      </c>
      <c r="E1098" s="636" t="s">
        <v>229</v>
      </c>
      <c r="F1098" s="612">
        <v>1</v>
      </c>
      <c r="G1098" s="681">
        <v>16.2</v>
      </c>
      <c r="H1098" s="612"/>
      <c r="I1098" s="695"/>
      <c r="J1098" s="695">
        <f>ROUND(F1098*G1098,2)</f>
        <v>16.2</v>
      </c>
      <c r="K1098" s="695"/>
      <c r="L1098" s="695"/>
      <c r="M1098" s="695"/>
      <c r="N1098" s="695"/>
      <c r="O1098" s="695"/>
      <c r="P1098" s="695"/>
      <c r="Q1098" s="609"/>
      <c r="R1098" s="609"/>
      <c r="S1098" s="609"/>
      <c r="T1098" s="609"/>
      <c r="U1098" s="609"/>
      <c r="V1098" s="609"/>
      <c r="W1098" s="609"/>
      <c r="X1098" s="609"/>
      <c r="Y1098" s="609"/>
      <c r="Z1098" s="609"/>
      <c r="AA1098" s="609"/>
      <c r="AB1098" s="609"/>
      <c r="AC1098" s="609"/>
      <c r="AD1098" s="609"/>
      <c r="AE1098" s="609"/>
      <c r="AF1098" s="609"/>
      <c r="AG1098" s="609"/>
      <c r="AH1098" s="609"/>
      <c r="AI1098" s="609"/>
      <c r="AJ1098" s="609"/>
      <c r="AK1098" s="609"/>
      <c r="AL1098" s="609"/>
      <c r="AM1098" s="609"/>
      <c r="AN1098" s="609"/>
      <c r="AO1098" s="609"/>
      <c r="AP1098" s="609"/>
      <c r="AQ1098" s="609"/>
      <c r="AR1098" s="609"/>
      <c r="AS1098" s="609"/>
      <c r="AT1098" s="609"/>
      <c r="AU1098" s="609"/>
      <c r="AV1098" s="609"/>
      <c r="AW1098" s="609"/>
      <c r="AX1098" s="609"/>
      <c r="AY1098" s="609"/>
      <c r="AZ1098" s="609"/>
      <c r="BA1098" s="609"/>
      <c r="BB1098" s="609"/>
      <c r="BC1098" s="609"/>
      <c r="BD1098" s="609"/>
      <c r="BE1098" s="609"/>
      <c r="BF1098" s="609"/>
      <c r="BG1098" s="609"/>
      <c r="BH1098" s="609"/>
      <c r="BI1098" s="609"/>
      <c r="BJ1098" s="609"/>
      <c r="BK1098" s="609"/>
      <c r="BL1098" s="609"/>
      <c r="BM1098" s="609"/>
      <c r="BN1098" s="609"/>
      <c r="BO1098" s="609"/>
      <c r="BP1098" s="609"/>
      <c r="BQ1098" s="609"/>
      <c r="BR1098" s="609"/>
      <c r="BS1098" s="609"/>
      <c r="BT1098" s="609"/>
      <c r="BU1098" s="609"/>
      <c r="BV1098" s="609"/>
      <c r="BW1098" s="609"/>
      <c r="BX1098" s="609"/>
      <c r="BY1098" s="609"/>
      <c r="BZ1098" s="609"/>
      <c r="CA1098" s="609"/>
      <c r="CB1098" s="609"/>
      <c r="CC1098" s="609"/>
      <c r="CD1098" s="609"/>
      <c r="CE1098" s="609"/>
      <c r="CF1098" s="609"/>
      <c r="CG1098" s="609"/>
      <c r="CH1098" s="609"/>
      <c r="CI1098" s="609"/>
      <c r="CJ1098" s="609"/>
      <c r="CK1098" s="609"/>
      <c r="CL1098" s="609"/>
      <c r="CM1098" s="609"/>
      <c r="CN1098" s="609"/>
      <c r="CO1098" s="609"/>
      <c r="CP1098" s="609"/>
      <c r="CQ1098" s="609"/>
      <c r="CR1098" s="609"/>
      <c r="CS1098" s="609"/>
      <c r="CT1098" s="609"/>
      <c r="CU1098" s="609"/>
      <c r="CV1098" s="609"/>
      <c r="CW1098" s="609"/>
      <c r="CX1098" s="609"/>
      <c r="CY1098" s="609"/>
      <c r="CZ1098" s="609"/>
      <c r="DA1098" s="609"/>
      <c r="DB1098" s="609"/>
      <c r="DC1098" s="609"/>
      <c r="DD1098" s="609"/>
      <c r="DE1098" s="609"/>
      <c r="DF1098" s="609"/>
      <c r="DG1098" s="609"/>
      <c r="DH1098" s="609"/>
      <c r="DI1098" s="609"/>
      <c r="DJ1098" s="609"/>
      <c r="DK1098" s="609"/>
      <c r="DL1098" s="609"/>
      <c r="DM1098" s="609"/>
      <c r="DN1098" s="609"/>
      <c r="DO1098" s="609"/>
      <c r="DP1098" s="609"/>
      <c r="DQ1098" s="609"/>
      <c r="DR1098" s="609"/>
      <c r="DS1098" s="609"/>
      <c r="DT1098" s="609"/>
      <c r="DU1098" s="609"/>
      <c r="DV1098" s="609"/>
      <c r="DW1098" s="609"/>
      <c r="DX1098" s="609"/>
      <c r="DY1098" s="609"/>
      <c r="DZ1098" s="609"/>
      <c r="EA1098" s="609"/>
      <c r="EB1098" s="609"/>
      <c r="EC1098" s="609"/>
      <c r="ED1098" s="609"/>
      <c r="EE1098" s="609"/>
      <c r="EF1098" s="609"/>
      <c r="EG1098" s="609"/>
      <c r="EH1098" s="609"/>
      <c r="EI1098" s="609"/>
      <c r="EJ1098" s="609"/>
      <c r="EK1098" s="609"/>
      <c r="EL1098" s="609"/>
      <c r="EM1098" s="609"/>
      <c r="EN1098" s="609"/>
      <c r="EO1098" s="609"/>
      <c r="EP1098" s="609"/>
      <c r="EQ1098" s="609"/>
      <c r="ER1098" s="609"/>
      <c r="ES1098" s="609"/>
      <c r="ET1098" s="609"/>
      <c r="EU1098" s="609"/>
      <c r="EV1098" s="609"/>
      <c r="EW1098" s="609"/>
      <c r="EX1098" s="609"/>
      <c r="EY1098" s="609"/>
      <c r="EZ1098" s="609"/>
      <c r="FA1098" s="609"/>
      <c r="FB1098" s="609"/>
      <c r="FC1098" s="609"/>
      <c r="FD1098" s="609"/>
      <c r="FE1098" s="609"/>
      <c r="FF1098" s="609"/>
      <c r="FG1098" s="609"/>
      <c r="FH1098" s="609"/>
      <c r="FI1098" s="609"/>
      <c r="FJ1098" s="609"/>
      <c r="FK1098" s="609"/>
      <c r="FL1098" s="609"/>
      <c r="FM1098" s="609"/>
      <c r="FN1098" s="609"/>
      <c r="FO1098" s="609"/>
      <c r="FP1098" s="609"/>
      <c r="FQ1098" s="609"/>
      <c r="FR1098" s="609"/>
      <c r="FS1098" s="609"/>
      <c r="FT1098" s="609"/>
      <c r="FU1098" s="609"/>
      <c r="FV1098" s="609"/>
      <c r="FW1098" s="609"/>
      <c r="FX1098" s="609"/>
      <c r="FY1098" s="609"/>
      <c r="FZ1098" s="609"/>
      <c r="GA1098" s="609"/>
      <c r="GB1098" s="609"/>
      <c r="GC1098" s="609"/>
      <c r="GD1098" s="609"/>
      <c r="GE1098" s="609"/>
      <c r="GF1098" s="609"/>
      <c r="GG1098" s="609"/>
      <c r="GH1098" s="609"/>
      <c r="GI1098" s="609"/>
      <c r="GJ1098" s="609"/>
      <c r="GK1098" s="609"/>
      <c r="GL1098" s="609"/>
      <c r="GM1098" s="609"/>
      <c r="GN1098" s="609"/>
      <c r="GO1098" s="609"/>
      <c r="GP1098" s="609"/>
      <c r="GQ1098" s="609"/>
      <c r="GR1098" s="609"/>
      <c r="GS1098" s="609"/>
      <c r="GT1098" s="609"/>
      <c r="GU1098" s="609"/>
      <c r="GV1098" s="609"/>
      <c r="GW1098" s="609"/>
      <c r="GX1098" s="609"/>
      <c r="GY1098" s="609"/>
      <c r="GZ1098" s="609"/>
      <c r="HA1098" s="609"/>
      <c r="HB1098" s="609"/>
      <c r="HC1098" s="609"/>
      <c r="HD1098" s="609"/>
      <c r="HE1098" s="609"/>
      <c r="HF1098" s="609"/>
      <c r="HG1098" s="609"/>
      <c r="HH1098" s="609"/>
      <c r="HI1098" s="609"/>
      <c r="HJ1098" s="609"/>
      <c r="HK1098" s="609"/>
      <c r="HL1098" s="609"/>
      <c r="HM1098" s="609"/>
      <c r="HN1098" s="609"/>
      <c r="HO1098" s="609"/>
      <c r="HP1098" s="609"/>
      <c r="HQ1098" s="609"/>
      <c r="HR1098" s="609"/>
      <c r="HS1098" s="609"/>
      <c r="HT1098" s="609"/>
      <c r="HU1098" s="609"/>
      <c r="HV1098" s="609"/>
      <c r="HW1098" s="609"/>
      <c r="HX1098" s="609"/>
      <c r="HY1098" s="609"/>
      <c r="HZ1098" s="609"/>
      <c r="IA1098" s="609"/>
      <c r="IB1098" s="609"/>
      <c r="IC1098" s="609"/>
      <c r="ID1098" s="609"/>
      <c r="IE1098" s="609"/>
      <c r="IF1098" s="609"/>
      <c r="IG1098" s="609"/>
      <c r="IH1098" s="609"/>
      <c r="II1098" s="609"/>
      <c r="IJ1098" s="609"/>
      <c r="IK1098" s="609"/>
      <c r="IL1098" s="609"/>
      <c r="IM1098" s="609"/>
      <c r="IN1098" s="609"/>
      <c r="IO1098" s="609"/>
      <c r="IP1098" s="609"/>
      <c r="IQ1098" s="609"/>
      <c r="IR1098" s="609"/>
      <c r="IS1098" s="609"/>
      <c r="IT1098" s="609"/>
      <c r="IU1098" s="609"/>
      <c r="IV1098" s="609"/>
    </row>
    <row r="1099" spans="1:256" s="642" customFormat="1" x14ac:dyDescent="0.25">
      <c r="A1099" s="634" t="s">
        <v>277</v>
      </c>
      <c r="B1099" s="634">
        <v>247</v>
      </c>
      <c r="C1099" s="636"/>
      <c r="D1099" s="635" t="s">
        <v>1070</v>
      </c>
      <c r="E1099" s="636" t="s">
        <v>229</v>
      </c>
      <c r="F1099" s="612">
        <v>1</v>
      </c>
      <c r="G1099" s="681">
        <v>9.65</v>
      </c>
      <c r="H1099" s="612"/>
      <c r="I1099" s="695"/>
      <c r="J1099" s="695">
        <f>ROUND(F1099*G1099,2)</f>
        <v>9.65</v>
      </c>
      <c r="K1099" s="695"/>
      <c r="L1099" s="695"/>
      <c r="M1099" s="695"/>
      <c r="N1099" s="695"/>
      <c r="O1099" s="695"/>
      <c r="P1099" s="695"/>
      <c r="Q1099" s="609"/>
      <c r="R1099" s="609"/>
      <c r="S1099" s="609"/>
      <c r="T1099" s="609"/>
      <c r="U1099" s="609"/>
      <c r="V1099" s="609"/>
      <c r="W1099" s="609"/>
      <c r="X1099" s="609"/>
      <c r="Y1099" s="609"/>
      <c r="Z1099" s="609"/>
      <c r="AA1099" s="609"/>
      <c r="AB1099" s="609"/>
      <c r="AC1099" s="609"/>
      <c r="AD1099" s="609"/>
      <c r="AE1099" s="609"/>
      <c r="AF1099" s="609"/>
      <c r="AG1099" s="609"/>
      <c r="AH1099" s="609"/>
      <c r="AI1099" s="609"/>
      <c r="AJ1099" s="609"/>
      <c r="AK1099" s="609"/>
      <c r="AL1099" s="609"/>
      <c r="AM1099" s="609"/>
      <c r="AN1099" s="609"/>
      <c r="AO1099" s="609"/>
      <c r="AP1099" s="609"/>
      <c r="AQ1099" s="609"/>
      <c r="AR1099" s="609"/>
      <c r="AS1099" s="609"/>
      <c r="AT1099" s="609"/>
      <c r="AU1099" s="609"/>
      <c r="AV1099" s="609"/>
      <c r="AW1099" s="609"/>
      <c r="AX1099" s="609"/>
      <c r="AY1099" s="609"/>
      <c r="AZ1099" s="609"/>
      <c r="BA1099" s="609"/>
      <c r="BB1099" s="609"/>
      <c r="BC1099" s="609"/>
      <c r="BD1099" s="609"/>
      <c r="BE1099" s="609"/>
      <c r="BF1099" s="609"/>
      <c r="BG1099" s="609"/>
      <c r="BH1099" s="609"/>
      <c r="BI1099" s="609"/>
      <c r="BJ1099" s="609"/>
      <c r="BK1099" s="609"/>
      <c r="BL1099" s="609"/>
      <c r="BM1099" s="609"/>
      <c r="BN1099" s="609"/>
      <c r="BO1099" s="609"/>
      <c r="BP1099" s="609"/>
      <c r="BQ1099" s="609"/>
      <c r="BR1099" s="609"/>
      <c r="BS1099" s="609"/>
      <c r="BT1099" s="609"/>
      <c r="BU1099" s="609"/>
      <c r="BV1099" s="609"/>
      <c r="BW1099" s="609"/>
      <c r="BX1099" s="609"/>
      <c r="BY1099" s="609"/>
      <c r="BZ1099" s="609"/>
      <c r="CA1099" s="609"/>
      <c r="CB1099" s="609"/>
      <c r="CC1099" s="609"/>
      <c r="CD1099" s="609"/>
      <c r="CE1099" s="609"/>
      <c r="CF1099" s="609"/>
      <c r="CG1099" s="609"/>
      <c r="CH1099" s="609"/>
      <c r="CI1099" s="609"/>
      <c r="CJ1099" s="609"/>
      <c r="CK1099" s="609"/>
      <c r="CL1099" s="609"/>
      <c r="CM1099" s="609"/>
      <c r="CN1099" s="609"/>
      <c r="CO1099" s="609"/>
      <c r="CP1099" s="609"/>
      <c r="CQ1099" s="609"/>
      <c r="CR1099" s="609"/>
      <c r="CS1099" s="609"/>
      <c r="CT1099" s="609"/>
      <c r="CU1099" s="609"/>
      <c r="CV1099" s="609"/>
      <c r="CW1099" s="609"/>
      <c r="CX1099" s="609"/>
      <c r="CY1099" s="609"/>
      <c r="CZ1099" s="609"/>
      <c r="DA1099" s="609"/>
      <c r="DB1099" s="609"/>
      <c r="DC1099" s="609"/>
      <c r="DD1099" s="609"/>
      <c r="DE1099" s="609"/>
      <c r="DF1099" s="609"/>
      <c r="DG1099" s="609"/>
      <c r="DH1099" s="609"/>
      <c r="DI1099" s="609"/>
      <c r="DJ1099" s="609"/>
      <c r="DK1099" s="609"/>
      <c r="DL1099" s="609"/>
      <c r="DM1099" s="609"/>
      <c r="DN1099" s="609"/>
      <c r="DO1099" s="609"/>
      <c r="DP1099" s="609"/>
      <c r="DQ1099" s="609"/>
      <c r="DR1099" s="609"/>
      <c r="DS1099" s="609"/>
      <c r="DT1099" s="609"/>
      <c r="DU1099" s="609"/>
      <c r="DV1099" s="609"/>
      <c r="DW1099" s="609"/>
      <c r="DX1099" s="609"/>
      <c r="DY1099" s="609"/>
      <c r="DZ1099" s="609"/>
      <c r="EA1099" s="609"/>
      <c r="EB1099" s="609"/>
      <c r="EC1099" s="609"/>
      <c r="ED1099" s="609"/>
      <c r="EE1099" s="609"/>
      <c r="EF1099" s="609"/>
      <c r="EG1099" s="609"/>
      <c r="EH1099" s="609"/>
      <c r="EI1099" s="609"/>
      <c r="EJ1099" s="609"/>
      <c r="EK1099" s="609"/>
      <c r="EL1099" s="609"/>
      <c r="EM1099" s="609"/>
      <c r="EN1099" s="609"/>
      <c r="EO1099" s="609"/>
      <c r="EP1099" s="609"/>
      <c r="EQ1099" s="609"/>
      <c r="ER1099" s="609"/>
      <c r="ES1099" s="609"/>
      <c r="ET1099" s="609"/>
      <c r="EU1099" s="609"/>
      <c r="EV1099" s="609"/>
      <c r="EW1099" s="609"/>
      <c r="EX1099" s="609"/>
      <c r="EY1099" s="609"/>
      <c r="EZ1099" s="609"/>
      <c r="FA1099" s="609"/>
      <c r="FB1099" s="609"/>
      <c r="FC1099" s="609"/>
      <c r="FD1099" s="609"/>
      <c r="FE1099" s="609"/>
      <c r="FF1099" s="609"/>
      <c r="FG1099" s="609"/>
      <c r="FH1099" s="609"/>
      <c r="FI1099" s="609"/>
      <c r="FJ1099" s="609"/>
      <c r="FK1099" s="609"/>
      <c r="FL1099" s="609"/>
      <c r="FM1099" s="609"/>
      <c r="FN1099" s="609"/>
      <c r="FO1099" s="609"/>
      <c r="FP1099" s="609"/>
      <c r="FQ1099" s="609"/>
      <c r="FR1099" s="609"/>
      <c r="FS1099" s="609"/>
      <c r="FT1099" s="609"/>
      <c r="FU1099" s="609"/>
      <c r="FV1099" s="609"/>
      <c r="FW1099" s="609"/>
      <c r="FX1099" s="609"/>
      <c r="FY1099" s="609"/>
      <c r="FZ1099" s="609"/>
      <c r="GA1099" s="609"/>
      <c r="GB1099" s="609"/>
      <c r="GC1099" s="609"/>
      <c r="GD1099" s="609"/>
      <c r="GE1099" s="609"/>
      <c r="GF1099" s="609"/>
      <c r="GG1099" s="609"/>
      <c r="GH1099" s="609"/>
      <c r="GI1099" s="609"/>
      <c r="GJ1099" s="609"/>
      <c r="GK1099" s="609"/>
      <c r="GL1099" s="609"/>
      <c r="GM1099" s="609"/>
      <c r="GN1099" s="609"/>
      <c r="GO1099" s="609"/>
      <c r="GP1099" s="609"/>
      <c r="GQ1099" s="609"/>
      <c r="GR1099" s="609"/>
      <c r="GS1099" s="609"/>
      <c r="GT1099" s="609"/>
      <c r="GU1099" s="609"/>
      <c r="GV1099" s="609"/>
      <c r="GW1099" s="609"/>
      <c r="GX1099" s="609"/>
      <c r="GY1099" s="609"/>
      <c r="GZ1099" s="609"/>
      <c r="HA1099" s="609"/>
      <c r="HB1099" s="609"/>
      <c r="HC1099" s="609"/>
      <c r="HD1099" s="609"/>
      <c r="HE1099" s="609"/>
      <c r="HF1099" s="609"/>
      <c r="HG1099" s="609"/>
      <c r="HH1099" s="609"/>
      <c r="HI1099" s="609"/>
      <c r="HJ1099" s="609"/>
      <c r="HK1099" s="609"/>
      <c r="HL1099" s="609"/>
      <c r="HM1099" s="609"/>
      <c r="HN1099" s="609"/>
      <c r="HO1099" s="609"/>
      <c r="HP1099" s="609"/>
      <c r="HQ1099" s="609"/>
      <c r="HR1099" s="609"/>
      <c r="HS1099" s="609"/>
      <c r="HT1099" s="609"/>
      <c r="HU1099" s="609"/>
      <c r="HV1099" s="609"/>
      <c r="HW1099" s="609"/>
      <c r="HX1099" s="609"/>
      <c r="HY1099" s="609"/>
      <c r="HZ1099" s="609"/>
      <c r="IA1099" s="609"/>
      <c r="IB1099" s="609"/>
      <c r="IC1099" s="609"/>
      <c r="ID1099" s="609"/>
      <c r="IE1099" s="609"/>
      <c r="IF1099" s="609"/>
      <c r="IG1099" s="609"/>
      <c r="IH1099" s="609"/>
      <c r="II1099" s="609"/>
      <c r="IJ1099" s="609"/>
      <c r="IK1099" s="609"/>
      <c r="IL1099" s="609"/>
      <c r="IM1099" s="609"/>
      <c r="IN1099" s="609"/>
      <c r="IO1099" s="609"/>
      <c r="IP1099" s="609"/>
      <c r="IQ1099" s="609"/>
      <c r="IR1099" s="609"/>
      <c r="IS1099" s="609"/>
      <c r="IT1099" s="609"/>
      <c r="IU1099" s="609"/>
      <c r="IV1099" s="609"/>
    </row>
    <row r="1100" spans="1:256" s="642" customFormat="1" ht="24" x14ac:dyDescent="0.25">
      <c r="A1100" s="675"/>
      <c r="B1100" s="675"/>
      <c r="C1100" s="675" t="s">
        <v>1795</v>
      </c>
      <c r="D1100" s="620" t="s">
        <v>1796</v>
      </c>
      <c r="E1100" s="675" t="s">
        <v>251</v>
      </c>
      <c r="F1100" s="620"/>
      <c r="G1100" s="622"/>
      <c r="H1100" s="620">
        <v>7</v>
      </c>
      <c r="I1100" s="677">
        <f>SUM(I1101:I1103)</f>
        <v>599</v>
      </c>
      <c r="J1100" s="677">
        <f>SUM(J1101:J1103)</f>
        <v>25.85</v>
      </c>
      <c r="K1100" s="665">
        <f>I1100+J1100</f>
        <v>624.85</v>
      </c>
      <c r="L1100" s="622">
        <f>H1100*I1100</f>
        <v>4193</v>
      </c>
      <c r="M1100" s="622">
        <f>H1100*J1100</f>
        <v>180.95000000000002</v>
      </c>
      <c r="N1100" s="622">
        <f>L1100+M1100</f>
        <v>4373.95</v>
      </c>
      <c r="O1100" s="622">
        <f>N1100*$P$4</f>
        <v>1074.2421200000001</v>
      </c>
      <c r="P1100" s="622">
        <f>N1100+O1100</f>
        <v>5448.1921199999997</v>
      </c>
      <c r="Q1100" s="609"/>
      <c r="R1100" s="609"/>
      <c r="S1100" s="609"/>
      <c r="T1100" s="609"/>
      <c r="U1100" s="609"/>
      <c r="V1100" s="609"/>
      <c r="W1100" s="609"/>
      <c r="X1100" s="609"/>
      <c r="Y1100" s="609"/>
      <c r="Z1100" s="609"/>
      <c r="AA1100" s="609"/>
      <c r="AB1100" s="609"/>
      <c r="AC1100" s="609"/>
      <c r="AD1100" s="609"/>
      <c r="AE1100" s="609"/>
      <c r="AF1100" s="609"/>
      <c r="AG1100" s="609"/>
      <c r="AH1100" s="609"/>
      <c r="AI1100" s="609"/>
      <c r="AJ1100" s="609"/>
      <c r="AK1100" s="609"/>
      <c r="AL1100" s="609"/>
      <c r="AM1100" s="609"/>
      <c r="AN1100" s="609"/>
      <c r="AO1100" s="609"/>
      <c r="AP1100" s="609"/>
      <c r="AQ1100" s="609"/>
      <c r="AR1100" s="609"/>
      <c r="AS1100" s="609"/>
      <c r="AT1100" s="609"/>
      <c r="AU1100" s="609"/>
      <c r="AV1100" s="609"/>
      <c r="AW1100" s="609"/>
      <c r="AX1100" s="609"/>
      <c r="AY1100" s="609"/>
      <c r="AZ1100" s="609"/>
      <c r="BA1100" s="609"/>
      <c r="BB1100" s="609"/>
      <c r="BC1100" s="609"/>
      <c r="BD1100" s="609"/>
      <c r="BE1100" s="609"/>
      <c r="BF1100" s="609"/>
      <c r="BG1100" s="609"/>
      <c r="BH1100" s="609"/>
      <c r="BI1100" s="609"/>
      <c r="BJ1100" s="609"/>
      <c r="BK1100" s="609"/>
      <c r="BL1100" s="609"/>
      <c r="BM1100" s="609"/>
      <c r="BN1100" s="609"/>
      <c r="BO1100" s="609"/>
      <c r="BP1100" s="609"/>
      <c r="BQ1100" s="609"/>
      <c r="BR1100" s="609"/>
      <c r="BS1100" s="609"/>
      <c r="BT1100" s="609"/>
      <c r="BU1100" s="609"/>
      <c r="BV1100" s="609"/>
      <c r="BW1100" s="609"/>
      <c r="BX1100" s="609"/>
      <c r="BY1100" s="609"/>
      <c r="BZ1100" s="609"/>
      <c r="CA1100" s="609"/>
      <c r="CB1100" s="609"/>
      <c r="CC1100" s="609"/>
      <c r="CD1100" s="609"/>
      <c r="CE1100" s="609"/>
      <c r="CF1100" s="609"/>
      <c r="CG1100" s="609"/>
      <c r="CH1100" s="609"/>
      <c r="CI1100" s="609"/>
      <c r="CJ1100" s="609"/>
      <c r="CK1100" s="609"/>
      <c r="CL1100" s="609"/>
      <c r="CM1100" s="609"/>
      <c r="CN1100" s="609"/>
      <c r="CO1100" s="609"/>
      <c r="CP1100" s="609"/>
      <c r="CQ1100" s="609"/>
      <c r="CR1100" s="609"/>
      <c r="CS1100" s="609"/>
      <c r="CT1100" s="609"/>
      <c r="CU1100" s="609"/>
      <c r="CV1100" s="609"/>
      <c r="CW1100" s="609"/>
      <c r="CX1100" s="609"/>
      <c r="CY1100" s="609"/>
      <c r="CZ1100" s="609"/>
      <c r="DA1100" s="609"/>
      <c r="DB1100" s="609"/>
      <c r="DC1100" s="609"/>
      <c r="DD1100" s="609"/>
      <c r="DE1100" s="609"/>
      <c r="DF1100" s="609"/>
      <c r="DG1100" s="609"/>
      <c r="DH1100" s="609"/>
      <c r="DI1100" s="609"/>
      <c r="DJ1100" s="609"/>
      <c r="DK1100" s="609"/>
      <c r="DL1100" s="609"/>
      <c r="DM1100" s="609"/>
      <c r="DN1100" s="609"/>
      <c r="DO1100" s="609"/>
      <c r="DP1100" s="609"/>
      <c r="DQ1100" s="609"/>
      <c r="DR1100" s="609"/>
      <c r="DS1100" s="609"/>
      <c r="DT1100" s="609"/>
      <c r="DU1100" s="609"/>
      <c r="DV1100" s="609"/>
      <c r="DW1100" s="609"/>
      <c r="DX1100" s="609"/>
      <c r="DY1100" s="609"/>
      <c r="DZ1100" s="609"/>
      <c r="EA1100" s="609"/>
      <c r="EB1100" s="609"/>
      <c r="EC1100" s="609"/>
      <c r="ED1100" s="609"/>
      <c r="EE1100" s="609"/>
      <c r="EF1100" s="609"/>
      <c r="EG1100" s="609"/>
      <c r="EH1100" s="609"/>
      <c r="EI1100" s="609"/>
      <c r="EJ1100" s="609"/>
      <c r="EK1100" s="609"/>
      <c r="EL1100" s="609"/>
      <c r="EM1100" s="609"/>
      <c r="EN1100" s="609"/>
      <c r="EO1100" s="609"/>
      <c r="EP1100" s="609"/>
      <c r="EQ1100" s="609"/>
      <c r="ER1100" s="609"/>
      <c r="ES1100" s="609"/>
      <c r="ET1100" s="609"/>
      <c r="EU1100" s="609"/>
      <c r="EV1100" s="609"/>
      <c r="EW1100" s="609"/>
      <c r="EX1100" s="609"/>
      <c r="EY1100" s="609"/>
      <c r="EZ1100" s="609"/>
      <c r="FA1100" s="609"/>
      <c r="FB1100" s="609"/>
      <c r="FC1100" s="609"/>
      <c r="FD1100" s="609"/>
      <c r="FE1100" s="609"/>
      <c r="FF1100" s="609"/>
      <c r="FG1100" s="609"/>
      <c r="FH1100" s="609"/>
      <c r="FI1100" s="609"/>
      <c r="FJ1100" s="609"/>
      <c r="FK1100" s="609"/>
      <c r="FL1100" s="609"/>
      <c r="FM1100" s="609"/>
      <c r="FN1100" s="609"/>
      <c r="FO1100" s="609"/>
      <c r="FP1100" s="609"/>
      <c r="FQ1100" s="609"/>
      <c r="FR1100" s="609"/>
      <c r="FS1100" s="609"/>
      <c r="FT1100" s="609"/>
      <c r="FU1100" s="609"/>
      <c r="FV1100" s="609"/>
      <c r="FW1100" s="609"/>
      <c r="FX1100" s="609"/>
      <c r="FY1100" s="609"/>
      <c r="FZ1100" s="609"/>
      <c r="GA1100" s="609"/>
      <c r="GB1100" s="609"/>
      <c r="GC1100" s="609"/>
      <c r="GD1100" s="609"/>
      <c r="GE1100" s="609"/>
      <c r="GF1100" s="609"/>
      <c r="GG1100" s="609"/>
      <c r="GH1100" s="609"/>
      <c r="GI1100" s="609"/>
      <c r="GJ1100" s="609"/>
      <c r="GK1100" s="609"/>
      <c r="GL1100" s="609"/>
      <c r="GM1100" s="609"/>
      <c r="GN1100" s="609"/>
      <c r="GO1100" s="609"/>
      <c r="GP1100" s="609"/>
      <c r="GQ1100" s="609"/>
      <c r="GR1100" s="609"/>
      <c r="GS1100" s="609"/>
      <c r="GT1100" s="609"/>
      <c r="GU1100" s="609"/>
      <c r="GV1100" s="609"/>
      <c r="GW1100" s="609"/>
      <c r="GX1100" s="609"/>
      <c r="GY1100" s="609"/>
      <c r="GZ1100" s="609"/>
      <c r="HA1100" s="609"/>
      <c r="HB1100" s="609"/>
      <c r="HC1100" s="609"/>
      <c r="HD1100" s="609"/>
      <c r="HE1100" s="609"/>
      <c r="HF1100" s="609"/>
      <c r="HG1100" s="609"/>
      <c r="HH1100" s="609"/>
      <c r="HI1100" s="609"/>
      <c r="HJ1100" s="609"/>
      <c r="HK1100" s="609"/>
      <c r="HL1100" s="609"/>
      <c r="HM1100" s="609"/>
      <c r="HN1100" s="609"/>
      <c r="HO1100" s="609"/>
      <c r="HP1100" s="609"/>
      <c r="HQ1100" s="609"/>
      <c r="HR1100" s="609"/>
      <c r="HS1100" s="609"/>
      <c r="HT1100" s="609"/>
      <c r="HU1100" s="609"/>
      <c r="HV1100" s="609"/>
      <c r="HW1100" s="609"/>
      <c r="HX1100" s="609"/>
      <c r="HY1100" s="609"/>
      <c r="HZ1100" s="609"/>
      <c r="IA1100" s="609"/>
      <c r="IB1100" s="609"/>
      <c r="IC1100" s="609"/>
      <c r="ID1100" s="609"/>
      <c r="IE1100" s="609"/>
      <c r="IF1100" s="609"/>
      <c r="IG1100" s="609"/>
      <c r="IH1100" s="609"/>
      <c r="II1100" s="609"/>
      <c r="IJ1100" s="609"/>
      <c r="IK1100" s="609"/>
      <c r="IL1100" s="609"/>
      <c r="IM1100" s="609"/>
      <c r="IN1100" s="609"/>
      <c r="IO1100" s="609"/>
      <c r="IP1100" s="609"/>
      <c r="IQ1100" s="609"/>
      <c r="IR1100" s="609"/>
      <c r="IS1100" s="609"/>
      <c r="IT1100" s="609"/>
      <c r="IU1100" s="609"/>
      <c r="IV1100" s="609"/>
    </row>
    <row r="1101" spans="1:256" s="642" customFormat="1" ht="24" x14ac:dyDescent="0.25">
      <c r="A1101" s="634" t="s">
        <v>1705</v>
      </c>
      <c r="B1101" s="679"/>
      <c r="C1101" s="636"/>
      <c r="D1101" s="726" t="s">
        <v>1796</v>
      </c>
      <c r="E1101" s="636" t="s">
        <v>251</v>
      </c>
      <c r="F1101" s="612">
        <v>1</v>
      </c>
      <c r="G1101" s="681">
        <v>599</v>
      </c>
      <c r="H1101" s="612"/>
      <c r="I1101" s="695">
        <f>ROUND(F1101*G1101,2)</f>
        <v>599</v>
      </c>
      <c r="J1101" s="695" t="s">
        <v>1207</v>
      </c>
      <c r="K1101" s="695"/>
      <c r="L1101" s="695"/>
      <c r="M1101" s="695"/>
      <c r="N1101" s="695"/>
      <c r="O1101" s="695"/>
      <c r="P1101" s="695"/>
      <c r="Q1101" s="609"/>
      <c r="R1101" s="609"/>
      <c r="S1101" s="609"/>
      <c r="T1101" s="609"/>
      <c r="U1101" s="609"/>
      <c r="V1101" s="609"/>
      <c r="W1101" s="609"/>
      <c r="X1101" s="609"/>
      <c r="Y1101" s="609"/>
      <c r="Z1101" s="609"/>
      <c r="AA1101" s="609"/>
      <c r="AB1101" s="609"/>
      <c r="AC1101" s="609"/>
      <c r="AD1101" s="609"/>
      <c r="AE1101" s="609"/>
      <c r="AF1101" s="609"/>
      <c r="AG1101" s="609"/>
      <c r="AH1101" s="609"/>
      <c r="AI1101" s="609"/>
      <c r="AJ1101" s="609"/>
      <c r="AK1101" s="609"/>
      <c r="AL1101" s="609"/>
      <c r="AM1101" s="609"/>
      <c r="AN1101" s="609"/>
      <c r="AO1101" s="609"/>
      <c r="AP1101" s="609"/>
      <c r="AQ1101" s="609"/>
      <c r="AR1101" s="609"/>
      <c r="AS1101" s="609"/>
      <c r="AT1101" s="609"/>
      <c r="AU1101" s="609"/>
      <c r="AV1101" s="609"/>
      <c r="AW1101" s="609"/>
      <c r="AX1101" s="609"/>
      <c r="AY1101" s="609"/>
      <c r="AZ1101" s="609"/>
      <c r="BA1101" s="609"/>
      <c r="BB1101" s="609"/>
      <c r="BC1101" s="609"/>
      <c r="BD1101" s="609"/>
      <c r="BE1101" s="609"/>
      <c r="BF1101" s="609"/>
      <c r="BG1101" s="609"/>
      <c r="BH1101" s="609"/>
      <c r="BI1101" s="609"/>
      <c r="BJ1101" s="609"/>
      <c r="BK1101" s="609"/>
      <c r="BL1101" s="609"/>
      <c r="BM1101" s="609"/>
      <c r="BN1101" s="609"/>
      <c r="BO1101" s="609"/>
      <c r="BP1101" s="609"/>
      <c r="BQ1101" s="609"/>
      <c r="BR1101" s="609"/>
      <c r="BS1101" s="609"/>
      <c r="BT1101" s="609"/>
      <c r="BU1101" s="609"/>
      <c r="BV1101" s="609"/>
      <c r="BW1101" s="609"/>
      <c r="BX1101" s="609"/>
      <c r="BY1101" s="609"/>
      <c r="BZ1101" s="609"/>
      <c r="CA1101" s="609"/>
      <c r="CB1101" s="609"/>
      <c r="CC1101" s="609"/>
      <c r="CD1101" s="609"/>
      <c r="CE1101" s="609"/>
      <c r="CF1101" s="609"/>
      <c r="CG1101" s="609"/>
      <c r="CH1101" s="609"/>
      <c r="CI1101" s="609"/>
      <c r="CJ1101" s="609"/>
      <c r="CK1101" s="609"/>
      <c r="CL1101" s="609"/>
      <c r="CM1101" s="609"/>
      <c r="CN1101" s="609"/>
      <c r="CO1101" s="609"/>
      <c r="CP1101" s="609"/>
      <c r="CQ1101" s="609"/>
      <c r="CR1101" s="609"/>
      <c r="CS1101" s="609"/>
      <c r="CT1101" s="609"/>
      <c r="CU1101" s="609"/>
      <c r="CV1101" s="609"/>
      <c r="CW1101" s="609"/>
      <c r="CX1101" s="609"/>
      <c r="CY1101" s="609"/>
      <c r="CZ1101" s="609"/>
      <c r="DA1101" s="609"/>
      <c r="DB1101" s="609"/>
      <c r="DC1101" s="609"/>
      <c r="DD1101" s="609"/>
      <c r="DE1101" s="609"/>
      <c r="DF1101" s="609"/>
      <c r="DG1101" s="609"/>
      <c r="DH1101" s="609"/>
      <c r="DI1101" s="609"/>
      <c r="DJ1101" s="609"/>
      <c r="DK1101" s="609"/>
      <c r="DL1101" s="609"/>
      <c r="DM1101" s="609"/>
      <c r="DN1101" s="609"/>
      <c r="DO1101" s="609"/>
      <c r="DP1101" s="609"/>
      <c r="DQ1101" s="609"/>
      <c r="DR1101" s="609"/>
      <c r="DS1101" s="609"/>
      <c r="DT1101" s="609"/>
      <c r="DU1101" s="609"/>
      <c r="DV1101" s="609"/>
      <c r="DW1101" s="609"/>
      <c r="DX1101" s="609"/>
      <c r="DY1101" s="609"/>
      <c r="DZ1101" s="609"/>
      <c r="EA1101" s="609"/>
      <c r="EB1101" s="609"/>
      <c r="EC1101" s="609"/>
      <c r="ED1101" s="609"/>
      <c r="EE1101" s="609"/>
      <c r="EF1101" s="609"/>
      <c r="EG1101" s="609"/>
      <c r="EH1101" s="609"/>
      <c r="EI1101" s="609"/>
      <c r="EJ1101" s="609"/>
      <c r="EK1101" s="609"/>
      <c r="EL1101" s="609"/>
      <c r="EM1101" s="609"/>
      <c r="EN1101" s="609"/>
      <c r="EO1101" s="609"/>
      <c r="EP1101" s="609"/>
      <c r="EQ1101" s="609"/>
      <c r="ER1101" s="609"/>
      <c r="ES1101" s="609"/>
      <c r="ET1101" s="609"/>
      <c r="EU1101" s="609"/>
      <c r="EV1101" s="609"/>
      <c r="EW1101" s="609"/>
      <c r="EX1101" s="609"/>
      <c r="EY1101" s="609"/>
      <c r="EZ1101" s="609"/>
      <c r="FA1101" s="609"/>
      <c r="FB1101" s="609"/>
      <c r="FC1101" s="609"/>
      <c r="FD1101" s="609"/>
      <c r="FE1101" s="609"/>
      <c r="FF1101" s="609"/>
      <c r="FG1101" s="609"/>
      <c r="FH1101" s="609"/>
      <c r="FI1101" s="609"/>
      <c r="FJ1101" s="609"/>
      <c r="FK1101" s="609"/>
      <c r="FL1101" s="609"/>
      <c r="FM1101" s="609"/>
      <c r="FN1101" s="609"/>
      <c r="FO1101" s="609"/>
      <c r="FP1101" s="609"/>
      <c r="FQ1101" s="609"/>
      <c r="FR1101" s="609"/>
      <c r="FS1101" s="609"/>
      <c r="FT1101" s="609"/>
      <c r="FU1101" s="609"/>
      <c r="FV1101" s="609"/>
      <c r="FW1101" s="609"/>
      <c r="FX1101" s="609"/>
      <c r="FY1101" s="609"/>
      <c r="FZ1101" s="609"/>
      <c r="GA1101" s="609"/>
      <c r="GB1101" s="609"/>
      <c r="GC1101" s="609"/>
      <c r="GD1101" s="609"/>
      <c r="GE1101" s="609"/>
      <c r="GF1101" s="609"/>
      <c r="GG1101" s="609"/>
      <c r="GH1101" s="609"/>
      <c r="GI1101" s="609"/>
      <c r="GJ1101" s="609"/>
      <c r="GK1101" s="609"/>
      <c r="GL1101" s="609"/>
      <c r="GM1101" s="609"/>
      <c r="GN1101" s="609"/>
      <c r="GO1101" s="609"/>
      <c r="GP1101" s="609"/>
      <c r="GQ1101" s="609"/>
      <c r="GR1101" s="609"/>
      <c r="GS1101" s="609"/>
      <c r="GT1101" s="609"/>
      <c r="GU1101" s="609"/>
      <c r="GV1101" s="609"/>
      <c r="GW1101" s="609"/>
      <c r="GX1101" s="609"/>
      <c r="GY1101" s="609"/>
      <c r="GZ1101" s="609"/>
      <c r="HA1101" s="609"/>
      <c r="HB1101" s="609"/>
      <c r="HC1101" s="609"/>
      <c r="HD1101" s="609"/>
      <c r="HE1101" s="609"/>
      <c r="HF1101" s="609"/>
      <c r="HG1101" s="609"/>
      <c r="HH1101" s="609"/>
      <c r="HI1101" s="609"/>
      <c r="HJ1101" s="609"/>
      <c r="HK1101" s="609"/>
      <c r="HL1101" s="609"/>
      <c r="HM1101" s="609"/>
      <c r="HN1101" s="609"/>
      <c r="HO1101" s="609"/>
      <c r="HP1101" s="609"/>
      <c r="HQ1101" s="609"/>
      <c r="HR1101" s="609"/>
      <c r="HS1101" s="609"/>
      <c r="HT1101" s="609"/>
      <c r="HU1101" s="609"/>
      <c r="HV1101" s="609"/>
      <c r="HW1101" s="609"/>
      <c r="HX1101" s="609"/>
      <c r="HY1101" s="609"/>
      <c r="HZ1101" s="609"/>
      <c r="IA1101" s="609"/>
      <c r="IB1101" s="609"/>
      <c r="IC1101" s="609"/>
      <c r="ID1101" s="609"/>
      <c r="IE1101" s="609"/>
      <c r="IF1101" s="609"/>
      <c r="IG1101" s="609"/>
      <c r="IH1101" s="609"/>
      <c r="II1101" s="609"/>
      <c r="IJ1101" s="609"/>
      <c r="IK1101" s="609"/>
      <c r="IL1101" s="609"/>
      <c r="IM1101" s="609"/>
      <c r="IN1101" s="609"/>
      <c r="IO1101" s="609"/>
      <c r="IP1101" s="609"/>
      <c r="IQ1101" s="609"/>
      <c r="IR1101" s="609"/>
      <c r="IS1101" s="609"/>
      <c r="IT1101" s="609"/>
      <c r="IU1101" s="609"/>
      <c r="IV1101" s="609"/>
    </row>
    <row r="1102" spans="1:256" s="642" customFormat="1" x14ac:dyDescent="0.25">
      <c r="A1102" s="634" t="s">
        <v>277</v>
      </c>
      <c r="B1102" s="634">
        <v>2439</v>
      </c>
      <c r="C1102" s="636"/>
      <c r="D1102" s="612" t="s">
        <v>1707</v>
      </c>
      <c r="E1102" s="636" t="s">
        <v>229</v>
      </c>
      <c r="F1102" s="612">
        <v>1</v>
      </c>
      <c r="G1102" s="681">
        <v>16.2</v>
      </c>
      <c r="H1102" s="612"/>
      <c r="I1102" s="695"/>
      <c r="J1102" s="695">
        <f>ROUND(F1102*G1102,2)</f>
        <v>16.2</v>
      </c>
      <c r="K1102" s="695"/>
      <c r="L1102" s="695"/>
      <c r="M1102" s="695"/>
      <c r="N1102" s="695"/>
      <c r="O1102" s="695"/>
      <c r="P1102" s="695"/>
      <c r="Q1102" s="609"/>
      <c r="R1102" s="609"/>
      <c r="S1102" s="609"/>
      <c r="T1102" s="609"/>
      <c r="U1102" s="609"/>
      <c r="V1102" s="609"/>
      <c r="W1102" s="609"/>
      <c r="X1102" s="609"/>
      <c r="Y1102" s="609"/>
      <c r="Z1102" s="609"/>
      <c r="AA1102" s="609"/>
      <c r="AB1102" s="609"/>
      <c r="AC1102" s="609"/>
      <c r="AD1102" s="609"/>
      <c r="AE1102" s="609"/>
      <c r="AF1102" s="609"/>
      <c r="AG1102" s="609"/>
      <c r="AH1102" s="609"/>
      <c r="AI1102" s="609"/>
      <c r="AJ1102" s="609"/>
      <c r="AK1102" s="609"/>
      <c r="AL1102" s="609"/>
      <c r="AM1102" s="609"/>
      <c r="AN1102" s="609"/>
      <c r="AO1102" s="609"/>
      <c r="AP1102" s="609"/>
      <c r="AQ1102" s="609"/>
      <c r="AR1102" s="609"/>
      <c r="AS1102" s="609"/>
      <c r="AT1102" s="609"/>
      <c r="AU1102" s="609"/>
      <c r="AV1102" s="609"/>
      <c r="AW1102" s="609"/>
      <c r="AX1102" s="609"/>
      <c r="AY1102" s="609"/>
      <c r="AZ1102" s="609"/>
      <c r="BA1102" s="609"/>
      <c r="BB1102" s="609"/>
      <c r="BC1102" s="609"/>
      <c r="BD1102" s="609"/>
      <c r="BE1102" s="609"/>
      <c r="BF1102" s="609"/>
      <c r="BG1102" s="609"/>
      <c r="BH1102" s="609"/>
      <c r="BI1102" s="609"/>
      <c r="BJ1102" s="609"/>
      <c r="BK1102" s="609"/>
      <c r="BL1102" s="609"/>
      <c r="BM1102" s="609"/>
      <c r="BN1102" s="609"/>
      <c r="BO1102" s="609"/>
      <c r="BP1102" s="609"/>
      <c r="BQ1102" s="609"/>
      <c r="BR1102" s="609"/>
      <c r="BS1102" s="609"/>
      <c r="BT1102" s="609"/>
      <c r="BU1102" s="609"/>
      <c r="BV1102" s="609"/>
      <c r="BW1102" s="609"/>
      <c r="BX1102" s="609"/>
      <c r="BY1102" s="609"/>
      <c r="BZ1102" s="609"/>
      <c r="CA1102" s="609"/>
      <c r="CB1102" s="609"/>
      <c r="CC1102" s="609"/>
      <c r="CD1102" s="609"/>
      <c r="CE1102" s="609"/>
      <c r="CF1102" s="609"/>
      <c r="CG1102" s="609"/>
      <c r="CH1102" s="609"/>
      <c r="CI1102" s="609"/>
      <c r="CJ1102" s="609"/>
      <c r="CK1102" s="609"/>
      <c r="CL1102" s="609"/>
      <c r="CM1102" s="609"/>
      <c r="CN1102" s="609"/>
      <c r="CO1102" s="609"/>
      <c r="CP1102" s="609"/>
      <c r="CQ1102" s="609"/>
      <c r="CR1102" s="609"/>
      <c r="CS1102" s="609"/>
      <c r="CT1102" s="609"/>
      <c r="CU1102" s="609"/>
      <c r="CV1102" s="609"/>
      <c r="CW1102" s="609"/>
      <c r="CX1102" s="609"/>
      <c r="CY1102" s="609"/>
      <c r="CZ1102" s="609"/>
      <c r="DA1102" s="609"/>
      <c r="DB1102" s="609"/>
      <c r="DC1102" s="609"/>
      <c r="DD1102" s="609"/>
      <c r="DE1102" s="609"/>
      <c r="DF1102" s="609"/>
      <c r="DG1102" s="609"/>
      <c r="DH1102" s="609"/>
      <c r="DI1102" s="609"/>
      <c r="DJ1102" s="609"/>
      <c r="DK1102" s="609"/>
      <c r="DL1102" s="609"/>
      <c r="DM1102" s="609"/>
      <c r="DN1102" s="609"/>
      <c r="DO1102" s="609"/>
      <c r="DP1102" s="609"/>
      <c r="DQ1102" s="609"/>
      <c r="DR1102" s="609"/>
      <c r="DS1102" s="609"/>
      <c r="DT1102" s="609"/>
      <c r="DU1102" s="609"/>
      <c r="DV1102" s="609"/>
      <c r="DW1102" s="609"/>
      <c r="DX1102" s="609"/>
      <c r="DY1102" s="609"/>
      <c r="DZ1102" s="609"/>
      <c r="EA1102" s="609"/>
      <c r="EB1102" s="609"/>
      <c r="EC1102" s="609"/>
      <c r="ED1102" s="609"/>
      <c r="EE1102" s="609"/>
      <c r="EF1102" s="609"/>
      <c r="EG1102" s="609"/>
      <c r="EH1102" s="609"/>
      <c r="EI1102" s="609"/>
      <c r="EJ1102" s="609"/>
      <c r="EK1102" s="609"/>
      <c r="EL1102" s="609"/>
      <c r="EM1102" s="609"/>
      <c r="EN1102" s="609"/>
      <c r="EO1102" s="609"/>
      <c r="EP1102" s="609"/>
      <c r="EQ1102" s="609"/>
      <c r="ER1102" s="609"/>
      <c r="ES1102" s="609"/>
      <c r="ET1102" s="609"/>
      <c r="EU1102" s="609"/>
      <c r="EV1102" s="609"/>
      <c r="EW1102" s="609"/>
      <c r="EX1102" s="609"/>
      <c r="EY1102" s="609"/>
      <c r="EZ1102" s="609"/>
      <c r="FA1102" s="609"/>
      <c r="FB1102" s="609"/>
      <c r="FC1102" s="609"/>
      <c r="FD1102" s="609"/>
      <c r="FE1102" s="609"/>
      <c r="FF1102" s="609"/>
      <c r="FG1102" s="609"/>
      <c r="FH1102" s="609"/>
      <c r="FI1102" s="609"/>
      <c r="FJ1102" s="609"/>
      <c r="FK1102" s="609"/>
      <c r="FL1102" s="609"/>
      <c r="FM1102" s="609"/>
      <c r="FN1102" s="609"/>
      <c r="FO1102" s="609"/>
      <c r="FP1102" s="609"/>
      <c r="FQ1102" s="609"/>
      <c r="FR1102" s="609"/>
      <c r="FS1102" s="609"/>
      <c r="FT1102" s="609"/>
      <c r="FU1102" s="609"/>
      <c r="FV1102" s="609"/>
      <c r="FW1102" s="609"/>
      <c r="FX1102" s="609"/>
      <c r="FY1102" s="609"/>
      <c r="FZ1102" s="609"/>
      <c r="GA1102" s="609"/>
      <c r="GB1102" s="609"/>
      <c r="GC1102" s="609"/>
      <c r="GD1102" s="609"/>
      <c r="GE1102" s="609"/>
      <c r="GF1102" s="609"/>
      <c r="GG1102" s="609"/>
      <c r="GH1102" s="609"/>
      <c r="GI1102" s="609"/>
      <c r="GJ1102" s="609"/>
      <c r="GK1102" s="609"/>
      <c r="GL1102" s="609"/>
      <c r="GM1102" s="609"/>
      <c r="GN1102" s="609"/>
      <c r="GO1102" s="609"/>
      <c r="GP1102" s="609"/>
      <c r="GQ1102" s="609"/>
      <c r="GR1102" s="609"/>
      <c r="GS1102" s="609"/>
      <c r="GT1102" s="609"/>
      <c r="GU1102" s="609"/>
      <c r="GV1102" s="609"/>
      <c r="GW1102" s="609"/>
      <c r="GX1102" s="609"/>
      <c r="GY1102" s="609"/>
      <c r="GZ1102" s="609"/>
      <c r="HA1102" s="609"/>
      <c r="HB1102" s="609"/>
      <c r="HC1102" s="609"/>
      <c r="HD1102" s="609"/>
      <c r="HE1102" s="609"/>
      <c r="HF1102" s="609"/>
      <c r="HG1102" s="609"/>
      <c r="HH1102" s="609"/>
      <c r="HI1102" s="609"/>
      <c r="HJ1102" s="609"/>
      <c r="HK1102" s="609"/>
      <c r="HL1102" s="609"/>
      <c r="HM1102" s="609"/>
      <c r="HN1102" s="609"/>
      <c r="HO1102" s="609"/>
      <c r="HP1102" s="609"/>
      <c r="HQ1102" s="609"/>
      <c r="HR1102" s="609"/>
      <c r="HS1102" s="609"/>
      <c r="HT1102" s="609"/>
      <c r="HU1102" s="609"/>
      <c r="HV1102" s="609"/>
      <c r="HW1102" s="609"/>
      <c r="HX1102" s="609"/>
      <c r="HY1102" s="609"/>
      <c r="HZ1102" s="609"/>
      <c r="IA1102" s="609"/>
      <c r="IB1102" s="609"/>
      <c r="IC1102" s="609"/>
      <c r="ID1102" s="609"/>
      <c r="IE1102" s="609"/>
      <c r="IF1102" s="609"/>
      <c r="IG1102" s="609"/>
      <c r="IH1102" s="609"/>
      <c r="II1102" s="609"/>
      <c r="IJ1102" s="609"/>
      <c r="IK1102" s="609"/>
      <c r="IL1102" s="609"/>
      <c r="IM1102" s="609"/>
      <c r="IN1102" s="609"/>
      <c r="IO1102" s="609"/>
      <c r="IP1102" s="609"/>
      <c r="IQ1102" s="609"/>
      <c r="IR1102" s="609"/>
      <c r="IS1102" s="609"/>
      <c r="IT1102" s="609"/>
      <c r="IU1102" s="609"/>
      <c r="IV1102" s="609"/>
    </row>
    <row r="1103" spans="1:256" s="642" customFormat="1" x14ac:dyDescent="0.25">
      <c r="A1103" s="634" t="s">
        <v>277</v>
      </c>
      <c r="B1103" s="634">
        <v>247</v>
      </c>
      <c r="C1103" s="636"/>
      <c r="D1103" s="635" t="s">
        <v>1070</v>
      </c>
      <c r="E1103" s="636" t="s">
        <v>229</v>
      </c>
      <c r="F1103" s="612">
        <v>1</v>
      </c>
      <c r="G1103" s="681">
        <v>9.65</v>
      </c>
      <c r="H1103" s="612"/>
      <c r="I1103" s="695"/>
      <c r="J1103" s="695">
        <f>ROUND(F1103*G1103,2)</f>
        <v>9.65</v>
      </c>
      <c r="K1103" s="695"/>
      <c r="L1103" s="695"/>
      <c r="M1103" s="695"/>
      <c r="N1103" s="695"/>
      <c r="O1103" s="695"/>
      <c r="P1103" s="695"/>
      <c r="Q1103" s="609"/>
      <c r="R1103" s="609"/>
      <c r="S1103" s="609"/>
      <c r="T1103" s="609"/>
      <c r="U1103" s="609"/>
      <c r="V1103" s="609"/>
      <c r="W1103" s="609"/>
      <c r="X1103" s="609"/>
      <c r="Y1103" s="609"/>
      <c r="Z1103" s="609"/>
      <c r="AA1103" s="609"/>
      <c r="AB1103" s="609"/>
      <c r="AC1103" s="609"/>
      <c r="AD1103" s="609"/>
      <c r="AE1103" s="609"/>
      <c r="AF1103" s="609"/>
      <c r="AG1103" s="609"/>
      <c r="AH1103" s="609"/>
      <c r="AI1103" s="609"/>
      <c r="AJ1103" s="609"/>
      <c r="AK1103" s="609"/>
      <c r="AL1103" s="609"/>
      <c r="AM1103" s="609"/>
      <c r="AN1103" s="609"/>
      <c r="AO1103" s="609"/>
      <c r="AP1103" s="609"/>
      <c r="AQ1103" s="609"/>
      <c r="AR1103" s="609"/>
      <c r="AS1103" s="609"/>
      <c r="AT1103" s="609"/>
      <c r="AU1103" s="609"/>
      <c r="AV1103" s="609"/>
      <c r="AW1103" s="609"/>
      <c r="AX1103" s="609"/>
      <c r="AY1103" s="609"/>
      <c r="AZ1103" s="609"/>
      <c r="BA1103" s="609"/>
      <c r="BB1103" s="609"/>
      <c r="BC1103" s="609"/>
      <c r="BD1103" s="609"/>
      <c r="BE1103" s="609"/>
      <c r="BF1103" s="609"/>
      <c r="BG1103" s="609"/>
      <c r="BH1103" s="609"/>
      <c r="BI1103" s="609"/>
      <c r="BJ1103" s="609"/>
      <c r="BK1103" s="609"/>
      <c r="BL1103" s="609"/>
      <c r="BM1103" s="609"/>
      <c r="BN1103" s="609"/>
      <c r="BO1103" s="609"/>
      <c r="BP1103" s="609"/>
      <c r="BQ1103" s="609"/>
      <c r="BR1103" s="609"/>
      <c r="BS1103" s="609"/>
      <c r="BT1103" s="609"/>
      <c r="BU1103" s="609"/>
      <c r="BV1103" s="609"/>
      <c r="BW1103" s="609"/>
      <c r="BX1103" s="609"/>
      <c r="BY1103" s="609"/>
      <c r="BZ1103" s="609"/>
      <c r="CA1103" s="609"/>
      <c r="CB1103" s="609"/>
      <c r="CC1103" s="609"/>
      <c r="CD1103" s="609"/>
      <c r="CE1103" s="609"/>
      <c r="CF1103" s="609"/>
      <c r="CG1103" s="609"/>
      <c r="CH1103" s="609"/>
      <c r="CI1103" s="609"/>
      <c r="CJ1103" s="609"/>
      <c r="CK1103" s="609"/>
      <c r="CL1103" s="609"/>
      <c r="CM1103" s="609"/>
      <c r="CN1103" s="609"/>
      <c r="CO1103" s="609"/>
      <c r="CP1103" s="609"/>
      <c r="CQ1103" s="609"/>
      <c r="CR1103" s="609"/>
      <c r="CS1103" s="609"/>
      <c r="CT1103" s="609"/>
      <c r="CU1103" s="609"/>
      <c r="CV1103" s="609"/>
      <c r="CW1103" s="609"/>
      <c r="CX1103" s="609"/>
      <c r="CY1103" s="609"/>
      <c r="CZ1103" s="609"/>
      <c r="DA1103" s="609"/>
      <c r="DB1103" s="609"/>
      <c r="DC1103" s="609"/>
      <c r="DD1103" s="609"/>
      <c r="DE1103" s="609"/>
      <c r="DF1103" s="609"/>
      <c r="DG1103" s="609"/>
      <c r="DH1103" s="609"/>
      <c r="DI1103" s="609"/>
      <c r="DJ1103" s="609"/>
      <c r="DK1103" s="609"/>
      <c r="DL1103" s="609"/>
      <c r="DM1103" s="609"/>
      <c r="DN1103" s="609"/>
      <c r="DO1103" s="609"/>
      <c r="DP1103" s="609"/>
      <c r="DQ1103" s="609"/>
      <c r="DR1103" s="609"/>
      <c r="DS1103" s="609"/>
      <c r="DT1103" s="609"/>
      <c r="DU1103" s="609"/>
      <c r="DV1103" s="609"/>
      <c r="DW1103" s="609"/>
      <c r="DX1103" s="609"/>
      <c r="DY1103" s="609"/>
      <c r="DZ1103" s="609"/>
      <c r="EA1103" s="609"/>
      <c r="EB1103" s="609"/>
      <c r="EC1103" s="609"/>
      <c r="ED1103" s="609"/>
      <c r="EE1103" s="609"/>
      <c r="EF1103" s="609"/>
      <c r="EG1103" s="609"/>
      <c r="EH1103" s="609"/>
      <c r="EI1103" s="609"/>
      <c r="EJ1103" s="609"/>
      <c r="EK1103" s="609"/>
      <c r="EL1103" s="609"/>
      <c r="EM1103" s="609"/>
      <c r="EN1103" s="609"/>
      <c r="EO1103" s="609"/>
      <c r="EP1103" s="609"/>
      <c r="EQ1103" s="609"/>
      <c r="ER1103" s="609"/>
      <c r="ES1103" s="609"/>
      <c r="ET1103" s="609"/>
      <c r="EU1103" s="609"/>
      <c r="EV1103" s="609"/>
      <c r="EW1103" s="609"/>
      <c r="EX1103" s="609"/>
      <c r="EY1103" s="609"/>
      <c r="EZ1103" s="609"/>
      <c r="FA1103" s="609"/>
      <c r="FB1103" s="609"/>
      <c r="FC1103" s="609"/>
      <c r="FD1103" s="609"/>
      <c r="FE1103" s="609"/>
      <c r="FF1103" s="609"/>
      <c r="FG1103" s="609"/>
      <c r="FH1103" s="609"/>
      <c r="FI1103" s="609"/>
      <c r="FJ1103" s="609"/>
      <c r="FK1103" s="609"/>
      <c r="FL1103" s="609"/>
      <c r="FM1103" s="609"/>
      <c r="FN1103" s="609"/>
      <c r="FO1103" s="609"/>
      <c r="FP1103" s="609"/>
      <c r="FQ1103" s="609"/>
      <c r="FR1103" s="609"/>
      <c r="FS1103" s="609"/>
      <c r="FT1103" s="609"/>
      <c r="FU1103" s="609"/>
      <c r="FV1103" s="609"/>
      <c r="FW1103" s="609"/>
      <c r="FX1103" s="609"/>
      <c r="FY1103" s="609"/>
      <c r="FZ1103" s="609"/>
      <c r="GA1103" s="609"/>
      <c r="GB1103" s="609"/>
      <c r="GC1103" s="609"/>
      <c r="GD1103" s="609"/>
      <c r="GE1103" s="609"/>
      <c r="GF1103" s="609"/>
      <c r="GG1103" s="609"/>
      <c r="GH1103" s="609"/>
      <c r="GI1103" s="609"/>
      <c r="GJ1103" s="609"/>
      <c r="GK1103" s="609"/>
      <c r="GL1103" s="609"/>
      <c r="GM1103" s="609"/>
      <c r="GN1103" s="609"/>
      <c r="GO1103" s="609"/>
      <c r="GP1103" s="609"/>
      <c r="GQ1103" s="609"/>
      <c r="GR1103" s="609"/>
      <c r="GS1103" s="609"/>
      <c r="GT1103" s="609"/>
      <c r="GU1103" s="609"/>
      <c r="GV1103" s="609"/>
      <c r="GW1103" s="609"/>
      <c r="GX1103" s="609"/>
      <c r="GY1103" s="609"/>
      <c r="GZ1103" s="609"/>
      <c r="HA1103" s="609"/>
      <c r="HB1103" s="609"/>
      <c r="HC1103" s="609"/>
      <c r="HD1103" s="609"/>
      <c r="HE1103" s="609"/>
      <c r="HF1103" s="609"/>
      <c r="HG1103" s="609"/>
      <c r="HH1103" s="609"/>
      <c r="HI1103" s="609"/>
      <c r="HJ1103" s="609"/>
      <c r="HK1103" s="609"/>
      <c r="HL1103" s="609"/>
      <c r="HM1103" s="609"/>
      <c r="HN1103" s="609"/>
      <c r="HO1103" s="609"/>
      <c r="HP1103" s="609"/>
      <c r="HQ1103" s="609"/>
      <c r="HR1103" s="609"/>
      <c r="HS1103" s="609"/>
      <c r="HT1103" s="609"/>
      <c r="HU1103" s="609"/>
      <c r="HV1103" s="609"/>
      <c r="HW1103" s="609"/>
      <c r="HX1103" s="609"/>
      <c r="HY1103" s="609"/>
      <c r="HZ1103" s="609"/>
      <c r="IA1103" s="609"/>
      <c r="IB1103" s="609"/>
      <c r="IC1103" s="609"/>
      <c r="ID1103" s="609"/>
      <c r="IE1103" s="609"/>
      <c r="IF1103" s="609"/>
      <c r="IG1103" s="609"/>
      <c r="IH1103" s="609"/>
      <c r="II1103" s="609"/>
      <c r="IJ1103" s="609"/>
      <c r="IK1103" s="609"/>
      <c r="IL1103" s="609"/>
      <c r="IM1103" s="609"/>
      <c r="IN1103" s="609"/>
      <c r="IO1103" s="609"/>
      <c r="IP1103" s="609"/>
      <c r="IQ1103" s="609"/>
      <c r="IR1103" s="609"/>
      <c r="IS1103" s="609"/>
      <c r="IT1103" s="609"/>
      <c r="IU1103" s="609"/>
      <c r="IV1103" s="609"/>
    </row>
    <row r="1104" spans="1:256" s="642" customFormat="1" x14ac:dyDescent="0.25">
      <c r="A1104" s="675"/>
      <c r="B1104" s="675"/>
      <c r="C1104" s="675" t="s">
        <v>1797</v>
      </c>
      <c r="D1104" s="620" t="s">
        <v>1798</v>
      </c>
      <c r="E1104" s="675" t="s">
        <v>251</v>
      </c>
      <c r="F1104" s="620"/>
      <c r="G1104" s="622"/>
      <c r="H1104" s="620">
        <v>6</v>
      </c>
      <c r="I1104" s="677">
        <f>SUM(I1105:I1107)</f>
        <v>19.989999999999998</v>
      </c>
      <c r="J1104" s="677">
        <f>SUM(J1105:J1107)</f>
        <v>2.59</v>
      </c>
      <c r="K1104" s="665">
        <f>I1104+J1104</f>
        <v>22.58</v>
      </c>
      <c r="L1104" s="622">
        <f>H1104*I1104</f>
        <v>119.94</v>
      </c>
      <c r="M1104" s="622">
        <f>H1104*J1104</f>
        <v>15.54</v>
      </c>
      <c r="N1104" s="622">
        <f>L1104+M1104</f>
        <v>135.47999999999999</v>
      </c>
      <c r="O1104" s="622">
        <f>N1104*$P$4</f>
        <v>33.273887999999999</v>
      </c>
      <c r="P1104" s="622">
        <f>N1104+O1104</f>
        <v>168.75388799999999</v>
      </c>
      <c r="Q1104" s="609"/>
      <c r="R1104" s="609"/>
      <c r="S1104" s="609"/>
      <c r="T1104" s="609"/>
      <c r="U1104" s="609"/>
      <c r="V1104" s="609"/>
      <c r="W1104" s="609"/>
      <c r="X1104" s="609"/>
      <c r="Y1104" s="609"/>
      <c r="Z1104" s="609"/>
      <c r="AA1104" s="609"/>
      <c r="AB1104" s="609"/>
      <c r="AC1104" s="609"/>
      <c r="AD1104" s="609"/>
      <c r="AE1104" s="609"/>
      <c r="AF1104" s="609"/>
      <c r="AG1104" s="609"/>
      <c r="AH1104" s="609"/>
      <c r="AI1104" s="609"/>
      <c r="AJ1104" s="609"/>
      <c r="AK1104" s="609"/>
      <c r="AL1104" s="609"/>
      <c r="AM1104" s="609"/>
      <c r="AN1104" s="609"/>
      <c r="AO1104" s="609"/>
      <c r="AP1104" s="609"/>
      <c r="AQ1104" s="609"/>
      <c r="AR1104" s="609"/>
      <c r="AS1104" s="609"/>
      <c r="AT1104" s="609"/>
      <c r="AU1104" s="609"/>
      <c r="AV1104" s="609"/>
      <c r="AW1104" s="609"/>
      <c r="AX1104" s="609"/>
      <c r="AY1104" s="609"/>
      <c r="AZ1104" s="609"/>
      <c r="BA1104" s="609"/>
      <c r="BB1104" s="609"/>
      <c r="BC1104" s="609"/>
      <c r="BD1104" s="609"/>
      <c r="BE1104" s="609"/>
      <c r="BF1104" s="609"/>
      <c r="BG1104" s="609"/>
      <c r="BH1104" s="609"/>
      <c r="BI1104" s="609"/>
      <c r="BJ1104" s="609"/>
      <c r="BK1104" s="609"/>
      <c r="BL1104" s="609"/>
      <c r="BM1104" s="609"/>
      <c r="BN1104" s="609"/>
      <c r="BO1104" s="609"/>
      <c r="BP1104" s="609"/>
      <c r="BQ1104" s="609"/>
      <c r="BR1104" s="609"/>
      <c r="BS1104" s="609"/>
      <c r="BT1104" s="609"/>
      <c r="BU1104" s="609"/>
      <c r="BV1104" s="609"/>
      <c r="BW1104" s="609"/>
      <c r="BX1104" s="609"/>
      <c r="BY1104" s="609"/>
      <c r="BZ1104" s="609"/>
      <c r="CA1104" s="609"/>
      <c r="CB1104" s="609"/>
      <c r="CC1104" s="609"/>
      <c r="CD1104" s="609"/>
      <c r="CE1104" s="609"/>
      <c r="CF1104" s="609"/>
      <c r="CG1104" s="609"/>
      <c r="CH1104" s="609"/>
      <c r="CI1104" s="609"/>
      <c r="CJ1104" s="609"/>
      <c r="CK1104" s="609"/>
      <c r="CL1104" s="609"/>
      <c r="CM1104" s="609"/>
      <c r="CN1104" s="609"/>
      <c r="CO1104" s="609"/>
      <c r="CP1104" s="609"/>
      <c r="CQ1104" s="609"/>
      <c r="CR1104" s="609"/>
      <c r="CS1104" s="609"/>
      <c r="CT1104" s="609"/>
      <c r="CU1104" s="609"/>
      <c r="CV1104" s="609"/>
      <c r="CW1104" s="609"/>
      <c r="CX1104" s="609"/>
      <c r="CY1104" s="609"/>
      <c r="CZ1104" s="609"/>
      <c r="DA1104" s="609"/>
      <c r="DB1104" s="609"/>
      <c r="DC1104" s="609"/>
      <c r="DD1104" s="609"/>
      <c r="DE1104" s="609"/>
      <c r="DF1104" s="609"/>
      <c r="DG1104" s="609"/>
      <c r="DH1104" s="609"/>
      <c r="DI1104" s="609"/>
      <c r="DJ1104" s="609"/>
      <c r="DK1104" s="609"/>
      <c r="DL1104" s="609"/>
      <c r="DM1104" s="609"/>
      <c r="DN1104" s="609"/>
      <c r="DO1104" s="609"/>
      <c r="DP1104" s="609"/>
      <c r="DQ1104" s="609"/>
      <c r="DR1104" s="609"/>
      <c r="DS1104" s="609"/>
      <c r="DT1104" s="609"/>
      <c r="DU1104" s="609"/>
      <c r="DV1104" s="609"/>
      <c r="DW1104" s="609"/>
      <c r="DX1104" s="609"/>
      <c r="DY1104" s="609"/>
      <c r="DZ1104" s="609"/>
      <c r="EA1104" s="609"/>
      <c r="EB1104" s="609"/>
      <c r="EC1104" s="609"/>
      <c r="ED1104" s="609"/>
      <c r="EE1104" s="609"/>
      <c r="EF1104" s="609"/>
      <c r="EG1104" s="609"/>
      <c r="EH1104" s="609"/>
      <c r="EI1104" s="609"/>
      <c r="EJ1104" s="609"/>
      <c r="EK1104" s="609"/>
      <c r="EL1104" s="609"/>
      <c r="EM1104" s="609"/>
      <c r="EN1104" s="609"/>
      <c r="EO1104" s="609"/>
      <c r="EP1104" s="609"/>
      <c r="EQ1104" s="609"/>
      <c r="ER1104" s="609"/>
      <c r="ES1104" s="609"/>
      <c r="ET1104" s="609"/>
      <c r="EU1104" s="609"/>
      <c r="EV1104" s="609"/>
      <c r="EW1104" s="609"/>
      <c r="EX1104" s="609"/>
      <c r="EY1104" s="609"/>
      <c r="EZ1104" s="609"/>
      <c r="FA1104" s="609"/>
      <c r="FB1104" s="609"/>
      <c r="FC1104" s="609"/>
      <c r="FD1104" s="609"/>
      <c r="FE1104" s="609"/>
      <c r="FF1104" s="609"/>
      <c r="FG1104" s="609"/>
      <c r="FH1104" s="609"/>
      <c r="FI1104" s="609"/>
      <c r="FJ1104" s="609"/>
      <c r="FK1104" s="609"/>
      <c r="FL1104" s="609"/>
      <c r="FM1104" s="609"/>
      <c r="FN1104" s="609"/>
      <c r="FO1104" s="609"/>
      <c r="FP1104" s="609"/>
      <c r="FQ1104" s="609"/>
      <c r="FR1104" s="609"/>
      <c r="FS1104" s="609"/>
      <c r="FT1104" s="609"/>
      <c r="FU1104" s="609"/>
      <c r="FV1104" s="609"/>
      <c r="FW1104" s="609"/>
      <c r="FX1104" s="609"/>
      <c r="FY1104" s="609"/>
      <c r="FZ1104" s="609"/>
      <c r="GA1104" s="609"/>
      <c r="GB1104" s="609"/>
      <c r="GC1104" s="609"/>
      <c r="GD1104" s="609"/>
      <c r="GE1104" s="609"/>
      <c r="GF1104" s="609"/>
      <c r="GG1104" s="609"/>
      <c r="GH1104" s="609"/>
      <c r="GI1104" s="609"/>
      <c r="GJ1104" s="609"/>
      <c r="GK1104" s="609"/>
      <c r="GL1104" s="609"/>
      <c r="GM1104" s="609"/>
      <c r="GN1104" s="609"/>
      <c r="GO1104" s="609"/>
      <c r="GP1104" s="609"/>
      <c r="GQ1104" s="609"/>
      <c r="GR1104" s="609"/>
      <c r="GS1104" s="609"/>
      <c r="GT1104" s="609"/>
      <c r="GU1104" s="609"/>
      <c r="GV1104" s="609"/>
      <c r="GW1104" s="609"/>
      <c r="GX1104" s="609"/>
      <c r="GY1104" s="609"/>
      <c r="GZ1104" s="609"/>
      <c r="HA1104" s="609"/>
      <c r="HB1104" s="609"/>
      <c r="HC1104" s="609"/>
      <c r="HD1104" s="609"/>
      <c r="HE1104" s="609"/>
      <c r="HF1104" s="609"/>
      <c r="HG1104" s="609"/>
      <c r="HH1104" s="609"/>
      <c r="HI1104" s="609"/>
      <c r="HJ1104" s="609"/>
      <c r="HK1104" s="609"/>
      <c r="HL1104" s="609"/>
      <c r="HM1104" s="609"/>
      <c r="HN1104" s="609"/>
      <c r="HO1104" s="609"/>
      <c r="HP1104" s="609"/>
      <c r="HQ1104" s="609"/>
      <c r="HR1104" s="609"/>
      <c r="HS1104" s="609"/>
      <c r="HT1104" s="609"/>
      <c r="HU1104" s="609"/>
      <c r="HV1104" s="609"/>
      <c r="HW1104" s="609"/>
      <c r="HX1104" s="609"/>
      <c r="HY1104" s="609"/>
      <c r="HZ1104" s="609"/>
      <c r="IA1104" s="609"/>
      <c r="IB1104" s="609"/>
      <c r="IC1104" s="609"/>
      <c r="ID1104" s="609"/>
      <c r="IE1104" s="609"/>
      <c r="IF1104" s="609"/>
      <c r="IG1104" s="609"/>
      <c r="IH1104" s="609"/>
      <c r="II1104" s="609"/>
      <c r="IJ1104" s="609"/>
      <c r="IK1104" s="609"/>
      <c r="IL1104" s="609"/>
      <c r="IM1104" s="609"/>
      <c r="IN1104" s="609"/>
      <c r="IO1104" s="609"/>
      <c r="IP1104" s="609"/>
      <c r="IQ1104" s="609"/>
      <c r="IR1104" s="609"/>
      <c r="IS1104" s="609"/>
      <c r="IT1104" s="609"/>
      <c r="IU1104" s="609"/>
      <c r="IV1104" s="609"/>
    </row>
    <row r="1105" spans="1:256" s="642" customFormat="1" x14ac:dyDescent="0.25">
      <c r="A1105" s="634" t="s">
        <v>1705</v>
      </c>
      <c r="B1105" s="679" t="s">
        <v>1799</v>
      </c>
      <c r="C1105" s="636"/>
      <c r="D1105" s="726" t="s">
        <v>1798</v>
      </c>
      <c r="E1105" s="636" t="s">
        <v>251</v>
      </c>
      <c r="F1105" s="612">
        <v>1</v>
      </c>
      <c r="G1105" s="681">
        <v>19.989999999999998</v>
      </c>
      <c r="H1105" s="612"/>
      <c r="I1105" s="695">
        <f>ROUND(F1105*G1105,2)</f>
        <v>19.989999999999998</v>
      </c>
      <c r="J1105" s="695" t="s">
        <v>1207</v>
      </c>
      <c r="K1105" s="695"/>
      <c r="L1105" s="695"/>
      <c r="M1105" s="695"/>
      <c r="N1105" s="695"/>
      <c r="O1105" s="695"/>
      <c r="P1105" s="695"/>
      <c r="Q1105" s="609"/>
      <c r="R1105" s="609"/>
      <c r="S1105" s="609"/>
      <c r="T1105" s="609"/>
      <c r="U1105" s="609"/>
      <c r="V1105" s="609"/>
      <c r="W1105" s="609"/>
      <c r="X1105" s="609"/>
      <c r="Y1105" s="609"/>
      <c r="Z1105" s="609"/>
      <c r="AA1105" s="609"/>
      <c r="AB1105" s="609"/>
      <c r="AC1105" s="609"/>
      <c r="AD1105" s="609"/>
      <c r="AE1105" s="609"/>
      <c r="AF1105" s="609"/>
      <c r="AG1105" s="609"/>
      <c r="AH1105" s="609"/>
      <c r="AI1105" s="609"/>
      <c r="AJ1105" s="609"/>
      <c r="AK1105" s="609"/>
      <c r="AL1105" s="609"/>
      <c r="AM1105" s="609"/>
      <c r="AN1105" s="609"/>
      <c r="AO1105" s="609"/>
      <c r="AP1105" s="609"/>
      <c r="AQ1105" s="609"/>
      <c r="AR1105" s="609"/>
      <c r="AS1105" s="609"/>
      <c r="AT1105" s="609"/>
      <c r="AU1105" s="609"/>
      <c r="AV1105" s="609"/>
      <c r="AW1105" s="609"/>
      <c r="AX1105" s="609"/>
      <c r="AY1105" s="609"/>
      <c r="AZ1105" s="609"/>
      <c r="BA1105" s="609"/>
      <c r="BB1105" s="609"/>
      <c r="BC1105" s="609"/>
      <c r="BD1105" s="609"/>
      <c r="BE1105" s="609"/>
      <c r="BF1105" s="609"/>
      <c r="BG1105" s="609"/>
      <c r="BH1105" s="609"/>
      <c r="BI1105" s="609"/>
      <c r="BJ1105" s="609"/>
      <c r="BK1105" s="609"/>
      <c r="BL1105" s="609"/>
      <c r="BM1105" s="609"/>
      <c r="BN1105" s="609"/>
      <c r="BO1105" s="609"/>
      <c r="BP1105" s="609"/>
      <c r="BQ1105" s="609"/>
      <c r="BR1105" s="609"/>
      <c r="BS1105" s="609"/>
      <c r="BT1105" s="609"/>
      <c r="BU1105" s="609"/>
      <c r="BV1105" s="609"/>
      <c r="BW1105" s="609"/>
      <c r="BX1105" s="609"/>
      <c r="BY1105" s="609"/>
      <c r="BZ1105" s="609"/>
      <c r="CA1105" s="609"/>
      <c r="CB1105" s="609"/>
      <c r="CC1105" s="609"/>
      <c r="CD1105" s="609"/>
      <c r="CE1105" s="609"/>
      <c r="CF1105" s="609"/>
      <c r="CG1105" s="609"/>
      <c r="CH1105" s="609"/>
      <c r="CI1105" s="609"/>
      <c r="CJ1105" s="609"/>
      <c r="CK1105" s="609"/>
      <c r="CL1105" s="609"/>
      <c r="CM1105" s="609"/>
      <c r="CN1105" s="609"/>
      <c r="CO1105" s="609"/>
      <c r="CP1105" s="609"/>
      <c r="CQ1105" s="609"/>
      <c r="CR1105" s="609"/>
      <c r="CS1105" s="609"/>
      <c r="CT1105" s="609"/>
      <c r="CU1105" s="609"/>
      <c r="CV1105" s="609"/>
      <c r="CW1105" s="609"/>
      <c r="CX1105" s="609"/>
      <c r="CY1105" s="609"/>
      <c r="CZ1105" s="609"/>
      <c r="DA1105" s="609"/>
      <c r="DB1105" s="609"/>
      <c r="DC1105" s="609"/>
      <c r="DD1105" s="609"/>
      <c r="DE1105" s="609"/>
      <c r="DF1105" s="609"/>
      <c r="DG1105" s="609"/>
      <c r="DH1105" s="609"/>
      <c r="DI1105" s="609"/>
      <c r="DJ1105" s="609"/>
      <c r="DK1105" s="609"/>
      <c r="DL1105" s="609"/>
      <c r="DM1105" s="609"/>
      <c r="DN1105" s="609"/>
      <c r="DO1105" s="609"/>
      <c r="DP1105" s="609"/>
      <c r="DQ1105" s="609"/>
      <c r="DR1105" s="609"/>
      <c r="DS1105" s="609"/>
      <c r="DT1105" s="609"/>
      <c r="DU1105" s="609"/>
      <c r="DV1105" s="609"/>
      <c r="DW1105" s="609"/>
      <c r="DX1105" s="609"/>
      <c r="DY1105" s="609"/>
      <c r="DZ1105" s="609"/>
      <c r="EA1105" s="609"/>
      <c r="EB1105" s="609"/>
      <c r="EC1105" s="609"/>
      <c r="ED1105" s="609"/>
      <c r="EE1105" s="609"/>
      <c r="EF1105" s="609"/>
      <c r="EG1105" s="609"/>
      <c r="EH1105" s="609"/>
      <c r="EI1105" s="609"/>
      <c r="EJ1105" s="609"/>
      <c r="EK1105" s="609"/>
      <c r="EL1105" s="609"/>
      <c r="EM1105" s="609"/>
      <c r="EN1105" s="609"/>
      <c r="EO1105" s="609"/>
      <c r="EP1105" s="609"/>
      <c r="EQ1105" s="609"/>
      <c r="ER1105" s="609"/>
      <c r="ES1105" s="609"/>
      <c r="ET1105" s="609"/>
      <c r="EU1105" s="609"/>
      <c r="EV1105" s="609"/>
      <c r="EW1105" s="609"/>
      <c r="EX1105" s="609"/>
      <c r="EY1105" s="609"/>
      <c r="EZ1105" s="609"/>
      <c r="FA1105" s="609"/>
      <c r="FB1105" s="609"/>
      <c r="FC1105" s="609"/>
      <c r="FD1105" s="609"/>
      <c r="FE1105" s="609"/>
      <c r="FF1105" s="609"/>
      <c r="FG1105" s="609"/>
      <c r="FH1105" s="609"/>
      <c r="FI1105" s="609"/>
      <c r="FJ1105" s="609"/>
      <c r="FK1105" s="609"/>
      <c r="FL1105" s="609"/>
      <c r="FM1105" s="609"/>
      <c r="FN1105" s="609"/>
      <c r="FO1105" s="609"/>
      <c r="FP1105" s="609"/>
      <c r="FQ1105" s="609"/>
      <c r="FR1105" s="609"/>
      <c r="FS1105" s="609"/>
      <c r="FT1105" s="609"/>
      <c r="FU1105" s="609"/>
      <c r="FV1105" s="609"/>
      <c r="FW1105" s="609"/>
      <c r="FX1105" s="609"/>
      <c r="FY1105" s="609"/>
      <c r="FZ1105" s="609"/>
      <c r="GA1105" s="609"/>
      <c r="GB1105" s="609"/>
      <c r="GC1105" s="609"/>
      <c r="GD1105" s="609"/>
      <c r="GE1105" s="609"/>
      <c r="GF1105" s="609"/>
      <c r="GG1105" s="609"/>
      <c r="GH1105" s="609"/>
      <c r="GI1105" s="609"/>
      <c r="GJ1105" s="609"/>
      <c r="GK1105" s="609"/>
      <c r="GL1105" s="609"/>
      <c r="GM1105" s="609"/>
      <c r="GN1105" s="609"/>
      <c r="GO1105" s="609"/>
      <c r="GP1105" s="609"/>
      <c r="GQ1105" s="609"/>
      <c r="GR1105" s="609"/>
      <c r="GS1105" s="609"/>
      <c r="GT1105" s="609"/>
      <c r="GU1105" s="609"/>
      <c r="GV1105" s="609"/>
      <c r="GW1105" s="609"/>
      <c r="GX1105" s="609"/>
      <c r="GY1105" s="609"/>
      <c r="GZ1105" s="609"/>
      <c r="HA1105" s="609"/>
      <c r="HB1105" s="609"/>
      <c r="HC1105" s="609"/>
      <c r="HD1105" s="609"/>
      <c r="HE1105" s="609"/>
      <c r="HF1105" s="609"/>
      <c r="HG1105" s="609"/>
      <c r="HH1105" s="609"/>
      <c r="HI1105" s="609"/>
      <c r="HJ1105" s="609"/>
      <c r="HK1105" s="609"/>
      <c r="HL1105" s="609"/>
      <c r="HM1105" s="609"/>
      <c r="HN1105" s="609"/>
      <c r="HO1105" s="609"/>
      <c r="HP1105" s="609"/>
      <c r="HQ1105" s="609"/>
      <c r="HR1105" s="609"/>
      <c r="HS1105" s="609"/>
      <c r="HT1105" s="609"/>
      <c r="HU1105" s="609"/>
      <c r="HV1105" s="609"/>
      <c r="HW1105" s="609"/>
      <c r="HX1105" s="609"/>
      <c r="HY1105" s="609"/>
      <c r="HZ1105" s="609"/>
      <c r="IA1105" s="609"/>
      <c r="IB1105" s="609"/>
      <c r="IC1105" s="609"/>
      <c r="ID1105" s="609"/>
      <c r="IE1105" s="609"/>
      <c r="IF1105" s="609"/>
      <c r="IG1105" s="609"/>
      <c r="IH1105" s="609"/>
      <c r="II1105" s="609"/>
      <c r="IJ1105" s="609"/>
      <c r="IK1105" s="609"/>
      <c r="IL1105" s="609"/>
      <c r="IM1105" s="609"/>
      <c r="IN1105" s="609"/>
      <c r="IO1105" s="609"/>
      <c r="IP1105" s="609"/>
      <c r="IQ1105" s="609"/>
      <c r="IR1105" s="609"/>
      <c r="IS1105" s="609"/>
      <c r="IT1105" s="609"/>
      <c r="IU1105" s="609"/>
      <c r="IV1105" s="609"/>
    </row>
    <row r="1106" spans="1:256" s="642" customFormat="1" x14ac:dyDescent="0.25">
      <c r="A1106" s="634" t="s">
        <v>277</v>
      </c>
      <c r="B1106" s="634">
        <v>2439</v>
      </c>
      <c r="C1106" s="636"/>
      <c r="D1106" s="612" t="s">
        <v>1707</v>
      </c>
      <c r="E1106" s="636" t="s">
        <v>229</v>
      </c>
      <c r="F1106" s="612">
        <v>0.1</v>
      </c>
      <c r="G1106" s="681">
        <v>16.2</v>
      </c>
      <c r="H1106" s="612"/>
      <c r="I1106" s="695"/>
      <c r="J1106" s="695">
        <f>ROUND(F1106*G1106,2)</f>
        <v>1.62</v>
      </c>
      <c r="K1106" s="695"/>
      <c r="L1106" s="695"/>
      <c r="M1106" s="695"/>
      <c r="N1106" s="695"/>
      <c r="O1106" s="695"/>
      <c r="P1106" s="695"/>
      <c r="Q1106" s="609"/>
      <c r="R1106" s="609"/>
      <c r="S1106" s="609"/>
      <c r="T1106" s="609"/>
      <c r="U1106" s="609"/>
      <c r="V1106" s="609"/>
      <c r="W1106" s="609"/>
      <c r="X1106" s="609"/>
      <c r="Y1106" s="609"/>
      <c r="Z1106" s="609"/>
      <c r="AA1106" s="609"/>
      <c r="AB1106" s="609"/>
      <c r="AC1106" s="609"/>
      <c r="AD1106" s="609"/>
      <c r="AE1106" s="609"/>
      <c r="AF1106" s="609"/>
      <c r="AG1106" s="609"/>
      <c r="AH1106" s="609"/>
      <c r="AI1106" s="609"/>
      <c r="AJ1106" s="609"/>
      <c r="AK1106" s="609"/>
      <c r="AL1106" s="609"/>
      <c r="AM1106" s="609"/>
      <c r="AN1106" s="609"/>
      <c r="AO1106" s="609"/>
      <c r="AP1106" s="609"/>
      <c r="AQ1106" s="609"/>
      <c r="AR1106" s="609"/>
      <c r="AS1106" s="609"/>
      <c r="AT1106" s="609"/>
      <c r="AU1106" s="609"/>
      <c r="AV1106" s="609"/>
      <c r="AW1106" s="609"/>
      <c r="AX1106" s="609"/>
      <c r="AY1106" s="609"/>
      <c r="AZ1106" s="609"/>
      <c r="BA1106" s="609"/>
      <c r="BB1106" s="609"/>
      <c r="BC1106" s="609"/>
      <c r="BD1106" s="609"/>
      <c r="BE1106" s="609"/>
      <c r="BF1106" s="609"/>
      <c r="BG1106" s="609"/>
      <c r="BH1106" s="609"/>
      <c r="BI1106" s="609"/>
      <c r="BJ1106" s="609"/>
      <c r="BK1106" s="609"/>
      <c r="BL1106" s="609"/>
      <c r="BM1106" s="609"/>
      <c r="BN1106" s="609"/>
      <c r="BO1106" s="609"/>
      <c r="BP1106" s="609"/>
      <c r="BQ1106" s="609"/>
      <c r="BR1106" s="609"/>
      <c r="BS1106" s="609"/>
      <c r="BT1106" s="609"/>
      <c r="BU1106" s="609"/>
      <c r="BV1106" s="609"/>
      <c r="BW1106" s="609"/>
      <c r="BX1106" s="609"/>
      <c r="BY1106" s="609"/>
      <c r="BZ1106" s="609"/>
      <c r="CA1106" s="609"/>
      <c r="CB1106" s="609"/>
      <c r="CC1106" s="609"/>
      <c r="CD1106" s="609"/>
      <c r="CE1106" s="609"/>
      <c r="CF1106" s="609"/>
      <c r="CG1106" s="609"/>
      <c r="CH1106" s="609"/>
      <c r="CI1106" s="609"/>
      <c r="CJ1106" s="609"/>
      <c r="CK1106" s="609"/>
      <c r="CL1106" s="609"/>
      <c r="CM1106" s="609"/>
      <c r="CN1106" s="609"/>
      <c r="CO1106" s="609"/>
      <c r="CP1106" s="609"/>
      <c r="CQ1106" s="609"/>
      <c r="CR1106" s="609"/>
      <c r="CS1106" s="609"/>
      <c r="CT1106" s="609"/>
      <c r="CU1106" s="609"/>
      <c r="CV1106" s="609"/>
      <c r="CW1106" s="609"/>
      <c r="CX1106" s="609"/>
      <c r="CY1106" s="609"/>
      <c r="CZ1106" s="609"/>
      <c r="DA1106" s="609"/>
      <c r="DB1106" s="609"/>
      <c r="DC1106" s="609"/>
      <c r="DD1106" s="609"/>
      <c r="DE1106" s="609"/>
      <c r="DF1106" s="609"/>
      <c r="DG1106" s="609"/>
      <c r="DH1106" s="609"/>
      <c r="DI1106" s="609"/>
      <c r="DJ1106" s="609"/>
      <c r="DK1106" s="609"/>
      <c r="DL1106" s="609"/>
      <c r="DM1106" s="609"/>
      <c r="DN1106" s="609"/>
      <c r="DO1106" s="609"/>
      <c r="DP1106" s="609"/>
      <c r="DQ1106" s="609"/>
      <c r="DR1106" s="609"/>
      <c r="DS1106" s="609"/>
      <c r="DT1106" s="609"/>
      <c r="DU1106" s="609"/>
      <c r="DV1106" s="609"/>
      <c r="DW1106" s="609"/>
      <c r="DX1106" s="609"/>
      <c r="DY1106" s="609"/>
      <c r="DZ1106" s="609"/>
      <c r="EA1106" s="609"/>
      <c r="EB1106" s="609"/>
      <c r="EC1106" s="609"/>
      <c r="ED1106" s="609"/>
      <c r="EE1106" s="609"/>
      <c r="EF1106" s="609"/>
      <c r="EG1106" s="609"/>
      <c r="EH1106" s="609"/>
      <c r="EI1106" s="609"/>
      <c r="EJ1106" s="609"/>
      <c r="EK1106" s="609"/>
      <c r="EL1106" s="609"/>
      <c r="EM1106" s="609"/>
      <c r="EN1106" s="609"/>
      <c r="EO1106" s="609"/>
      <c r="EP1106" s="609"/>
      <c r="EQ1106" s="609"/>
      <c r="ER1106" s="609"/>
      <c r="ES1106" s="609"/>
      <c r="ET1106" s="609"/>
      <c r="EU1106" s="609"/>
      <c r="EV1106" s="609"/>
      <c r="EW1106" s="609"/>
      <c r="EX1106" s="609"/>
      <c r="EY1106" s="609"/>
      <c r="EZ1106" s="609"/>
      <c r="FA1106" s="609"/>
      <c r="FB1106" s="609"/>
      <c r="FC1106" s="609"/>
      <c r="FD1106" s="609"/>
      <c r="FE1106" s="609"/>
      <c r="FF1106" s="609"/>
      <c r="FG1106" s="609"/>
      <c r="FH1106" s="609"/>
      <c r="FI1106" s="609"/>
      <c r="FJ1106" s="609"/>
      <c r="FK1106" s="609"/>
      <c r="FL1106" s="609"/>
      <c r="FM1106" s="609"/>
      <c r="FN1106" s="609"/>
      <c r="FO1106" s="609"/>
      <c r="FP1106" s="609"/>
      <c r="FQ1106" s="609"/>
      <c r="FR1106" s="609"/>
      <c r="FS1106" s="609"/>
      <c r="FT1106" s="609"/>
      <c r="FU1106" s="609"/>
      <c r="FV1106" s="609"/>
      <c r="FW1106" s="609"/>
      <c r="FX1106" s="609"/>
      <c r="FY1106" s="609"/>
      <c r="FZ1106" s="609"/>
      <c r="GA1106" s="609"/>
      <c r="GB1106" s="609"/>
      <c r="GC1106" s="609"/>
      <c r="GD1106" s="609"/>
      <c r="GE1106" s="609"/>
      <c r="GF1106" s="609"/>
      <c r="GG1106" s="609"/>
      <c r="GH1106" s="609"/>
      <c r="GI1106" s="609"/>
      <c r="GJ1106" s="609"/>
      <c r="GK1106" s="609"/>
      <c r="GL1106" s="609"/>
      <c r="GM1106" s="609"/>
      <c r="GN1106" s="609"/>
      <c r="GO1106" s="609"/>
      <c r="GP1106" s="609"/>
      <c r="GQ1106" s="609"/>
      <c r="GR1106" s="609"/>
      <c r="GS1106" s="609"/>
      <c r="GT1106" s="609"/>
      <c r="GU1106" s="609"/>
      <c r="GV1106" s="609"/>
      <c r="GW1106" s="609"/>
      <c r="GX1106" s="609"/>
      <c r="GY1106" s="609"/>
      <c r="GZ1106" s="609"/>
      <c r="HA1106" s="609"/>
      <c r="HB1106" s="609"/>
      <c r="HC1106" s="609"/>
      <c r="HD1106" s="609"/>
      <c r="HE1106" s="609"/>
      <c r="HF1106" s="609"/>
      <c r="HG1106" s="609"/>
      <c r="HH1106" s="609"/>
      <c r="HI1106" s="609"/>
      <c r="HJ1106" s="609"/>
      <c r="HK1106" s="609"/>
      <c r="HL1106" s="609"/>
      <c r="HM1106" s="609"/>
      <c r="HN1106" s="609"/>
      <c r="HO1106" s="609"/>
      <c r="HP1106" s="609"/>
      <c r="HQ1106" s="609"/>
      <c r="HR1106" s="609"/>
      <c r="HS1106" s="609"/>
      <c r="HT1106" s="609"/>
      <c r="HU1106" s="609"/>
      <c r="HV1106" s="609"/>
      <c r="HW1106" s="609"/>
      <c r="HX1106" s="609"/>
      <c r="HY1106" s="609"/>
      <c r="HZ1106" s="609"/>
      <c r="IA1106" s="609"/>
      <c r="IB1106" s="609"/>
      <c r="IC1106" s="609"/>
      <c r="ID1106" s="609"/>
      <c r="IE1106" s="609"/>
      <c r="IF1106" s="609"/>
      <c r="IG1106" s="609"/>
      <c r="IH1106" s="609"/>
      <c r="II1106" s="609"/>
      <c r="IJ1106" s="609"/>
      <c r="IK1106" s="609"/>
      <c r="IL1106" s="609"/>
      <c r="IM1106" s="609"/>
      <c r="IN1106" s="609"/>
      <c r="IO1106" s="609"/>
      <c r="IP1106" s="609"/>
      <c r="IQ1106" s="609"/>
      <c r="IR1106" s="609"/>
      <c r="IS1106" s="609"/>
      <c r="IT1106" s="609"/>
      <c r="IU1106" s="609"/>
      <c r="IV1106" s="609"/>
    </row>
    <row r="1107" spans="1:256" s="642" customFormat="1" x14ac:dyDescent="0.25">
      <c r="A1107" s="634" t="s">
        <v>277</v>
      </c>
      <c r="B1107" s="634">
        <v>247</v>
      </c>
      <c r="C1107" s="636"/>
      <c r="D1107" s="635" t="s">
        <v>1070</v>
      </c>
      <c r="E1107" s="636" t="s">
        <v>229</v>
      </c>
      <c r="F1107" s="612">
        <v>0.1</v>
      </c>
      <c r="G1107" s="681">
        <v>9.65</v>
      </c>
      <c r="H1107" s="612"/>
      <c r="I1107" s="695"/>
      <c r="J1107" s="695">
        <f>ROUND(F1107*G1107,2)</f>
        <v>0.97</v>
      </c>
      <c r="K1107" s="695"/>
      <c r="L1107" s="695"/>
      <c r="M1107" s="695"/>
      <c r="N1107" s="695"/>
      <c r="O1107" s="695"/>
      <c r="P1107" s="695"/>
      <c r="Q1107" s="609"/>
      <c r="R1107" s="609"/>
      <c r="S1107" s="609"/>
      <c r="T1107" s="609"/>
      <c r="U1107" s="609"/>
      <c r="V1107" s="609"/>
      <c r="W1107" s="609"/>
      <c r="X1107" s="609"/>
      <c r="Y1107" s="609"/>
      <c r="Z1107" s="609"/>
      <c r="AA1107" s="609"/>
      <c r="AB1107" s="609"/>
      <c r="AC1107" s="609"/>
      <c r="AD1107" s="609"/>
      <c r="AE1107" s="609"/>
      <c r="AF1107" s="609"/>
      <c r="AG1107" s="609"/>
      <c r="AH1107" s="609"/>
      <c r="AI1107" s="609"/>
      <c r="AJ1107" s="609"/>
      <c r="AK1107" s="609"/>
      <c r="AL1107" s="609"/>
      <c r="AM1107" s="609"/>
      <c r="AN1107" s="609"/>
      <c r="AO1107" s="609"/>
      <c r="AP1107" s="609"/>
      <c r="AQ1107" s="609"/>
      <c r="AR1107" s="609"/>
      <c r="AS1107" s="609"/>
      <c r="AT1107" s="609"/>
      <c r="AU1107" s="609"/>
      <c r="AV1107" s="609"/>
      <c r="AW1107" s="609"/>
      <c r="AX1107" s="609"/>
      <c r="AY1107" s="609"/>
      <c r="AZ1107" s="609"/>
      <c r="BA1107" s="609"/>
      <c r="BB1107" s="609"/>
      <c r="BC1107" s="609"/>
      <c r="BD1107" s="609"/>
      <c r="BE1107" s="609"/>
      <c r="BF1107" s="609"/>
      <c r="BG1107" s="609"/>
      <c r="BH1107" s="609"/>
      <c r="BI1107" s="609"/>
      <c r="BJ1107" s="609"/>
      <c r="BK1107" s="609"/>
      <c r="BL1107" s="609"/>
      <c r="BM1107" s="609"/>
      <c r="BN1107" s="609"/>
      <c r="BO1107" s="609"/>
      <c r="BP1107" s="609"/>
      <c r="BQ1107" s="609"/>
      <c r="BR1107" s="609"/>
      <c r="BS1107" s="609"/>
      <c r="BT1107" s="609"/>
      <c r="BU1107" s="609"/>
      <c r="BV1107" s="609"/>
      <c r="BW1107" s="609"/>
      <c r="BX1107" s="609"/>
      <c r="BY1107" s="609"/>
      <c r="BZ1107" s="609"/>
      <c r="CA1107" s="609"/>
      <c r="CB1107" s="609"/>
      <c r="CC1107" s="609"/>
      <c r="CD1107" s="609"/>
      <c r="CE1107" s="609"/>
      <c r="CF1107" s="609"/>
      <c r="CG1107" s="609"/>
      <c r="CH1107" s="609"/>
      <c r="CI1107" s="609"/>
      <c r="CJ1107" s="609"/>
      <c r="CK1107" s="609"/>
      <c r="CL1107" s="609"/>
      <c r="CM1107" s="609"/>
      <c r="CN1107" s="609"/>
      <c r="CO1107" s="609"/>
      <c r="CP1107" s="609"/>
      <c r="CQ1107" s="609"/>
      <c r="CR1107" s="609"/>
      <c r="CS1107" s="609"/>
      <c r="CT1107" s="609"/>
      <c r="CU1107" s="609"/>
      <c r="CV1107" s="609"/>
      <c r="CW1107" s="609"/>
      <c r="CX1107" s="609"/>
      <c r="CY1107" s="609"/>
      <c r="CZ1107" s="609"/>
      <c r="DA1107" s="609"/>
      <c r="DB1107" s="609"/>
      <c r="DC1107" s="609"/>
      <c r="DD1107" s="609"/>
      <c r="DE1107" s="609"/>
      <c r="DF1107" s="609"/>
      <c r="DG1107" s="609"/>
      <c r="DH1107" s="609"/>
      <c r="DI1107" s="609"/>
      <c r="DJ1107" s="609"/>
      <c r="DK1107" s="609"/>
      <c r="DL1107" s="609"/>
      <c r="DM1107" s="609"/>
      <c r="DN1107" s="609"/>
      <c r="DO1107" s="609"/>
      <c r="DP1107" s="609"/>
      <c r="DQ1107" s="609"/>
      <c r="DR1107" s="609"/>
      <c r="DS1107" s="609"/>
      <c r="DT1107" s="609"/>
      <c r="DU1107" s="609"/>
      <c r="DV1107" s="609"/>
      <c r="DW1107" s="609"/>
      <c r="DX1107" s="609"/>
      <c r="DY1107" s="609"/>
      <c r="DZ1107" s="609"/>
      <c r="EA1107" s="609"/>
      <c r="EB1107" s="609"/>
      <c r="EC1107" s="609"/>
      <c r="ED1107" s="609"/>
      <c r="EE1107" s="609"/>
      <c r="EF1107" s="609"/>
      <c r="EG1107" s="609"/>
      <c r="EH1107" s="609"/>
      <c r="EI1107" s="609"/>
      <c r="EJ1107" s="609"/>
      <c r="EK1107" s="609"/>
      <c r="EL1107" s="609"/>
      <c r="EM1107" s="609"/>
      <c r="EN1107" s="609"/>
      <c r="EO1107" s="609"/>
      <c r="EP1107" s="609"/>
      <c r="EQ1107" s="609"/>
      <c r="ER1107" s="609"/>
      <c r="ES1107" s="609"/>
      <c r="ET1107" s="609"/>
      <c r="EU1107" s="609"/>
      <c r="EV1107" s="609"/>
      <c r="EW1107" s="609"/>
      <c r="EX1107" s="609"/>
      <c r="EY1107" s="609"/>
      <c r="EZ1107" s="609"/>
      <c r="FA1107" s="609"/>
      <c r="FB1107" s="609"/>
      <c r="FC1107" s="609"/>
      <c r="FD1107" s="609"/>
      <c r="FE1107" s="609"/>
      <c r="FF1107" s="609"/>
      <c r="FG1107" s="609"/>
      <c r="FH1107" s="609"/>
      <c r="FI1107" s="609"/>
      <c r="FJ1107" s="609"/>
      <c r="FK1107" s="609"/>
      <c r="FL1107" s="609"/>
      <c r="FM1107" s="609"/>
      <c r="FN1107" s="609"/>
      <c r="FO1107" s="609"/>
      <c r="FP1107" s="609"/>
      <c r="FQ1107" s="609"/>
      <c r="FR1107" s="609"/>
      <c r="FS1107" s="609"/>
      <c r="FT1107" s="609"/>
      <c r="FU1107" s="609"/>
      <c r="FV1107" s="609"/>
      <c r="FW1107" s="609"/>
      <c r="FX1107" s="609"/>
      <c r="FY1107" s="609"/>
      <c r="FZ1107" s="609"/>
      <c r="GA1107" s="609"/>
      <c r="GB1107" s="609"/>
      <c r="GC1107" s="609"/>
      <c r="GD1107" s="609"/>
      <c r="GE1107" s="609"/>
      <c r="GF1107" s="609"/>
      <c r="GG1107" s="609"/>
      <c r="GH1107" s="609"/>
      <c r="GI1107" s="609"/>
      <c r="GJ1107" s="609"/>
      <c r="GK1107" s="609"/>
      <c r="GL1107" s="609"/>
      <c r="GM1107" s="609"/>
      <c r="GN1107" s="609"/>
      <c r="GO1107" s="609"/>
      <c r="GP1107" s="609"/>
      <c r="GQ1107" s="609"/>
      <c r="GR1107" s="609"/>
      <c r="GS1107" s="609"/>
      <c r="GT1107" s="609"/>
      <c r="GU1107" s="609"/>
      <c r="GV1107" s="609"/>
      <c r="GW1107" s="609"/>
      <c r="GX1107" s="609"/>
      <c r="GY1107" s="609"/>
      <c r="GZ1107" s="609"/>
      <c r="HA1107" s="609"/>
      <c r="HB1107" s="609"/>
      <c r="HC1107" s="609"/>
      <c r="HD1107" s="609"/>
      <c r="HE1107" s="609"/>
      <c r="HF1107" s="609"/>
      <c r="HG1107" s="609"/>
      <c r="HH1107" s="609"/>
      <c r="HI1107" s="609"/>
      <c r="HJ1107" s="609"/>
      <c r="HK1107" s="609"/>
      <c r="HL1107" s="609"/>
      <c r="HM1107" s="609"/>
      <c r="HN1107" s="609"/>
      <c r="HO1107" s="609"/>
      <c r="HP1107" s="609"/>
      <c r="HQ1107" s="609"/>
      <c r="HR1107" s="609"/>
      <c r="HS1107" s="609"/>
      <c r="HT1107" s="609"/>
      <c r="HU1107" s="609"/>
      <c r="HV1107" s="609"/>
      <c r="HW1107" s="609"/>
      <c r="HX1107" s="609"/>
      <c r="HY1107" s="609"/>
      <c r="HZ1107" s="609"/>
      <c r="IA1107" s="609"/>
      <c r="IB1107" s="609"/>
      <c r="IC1107" s="609"/>
      <c r="ID1107" s="609"/>
      <c r="IE1107" s="609"/>
      <c r="IF1107" s="609"/>
      <c r="IG1107" s="609"/>
      <c r="IH1107" s="609"/>
      <c r="II1107" s="609"/>
      <c r="IJ1107" s="609"/>
      <c r="IK1107" s="609"/>
      <c r="IL1107" s="609"/>
      <c r="IM1107" s="609"/>
      <c r="IN1107" s="609"/>
      <c r="IO1107" s="609"/>
      <c r="IP1107" s="609"/>
      <c r="IQ1107" s="609"/>
      <c r="IR1107" s="609"/>
      <c r="IS1107" s="609"/>
      <c r="IT1107" s="609"/>
      <c r="IU1107" s="609"/>
      <c r="IV1107" s="609"/>
    </row>
    <row r="1108" spans="1:256" s="642" customFormat="1" ht="24" x14ac:dyDescent="0.25">
      <c r="A1108" s="675"/>
      <c r="B1108" s="675"/>
      <c r="C1108" s="675" t="s">
        <v>1800</v>
      </c>
      <c r="D1108" s="620" t="s">
        <v>1801</v>
      </c>
      <c r="E1108" s="675" t="s">
        <v>251</v>
      </c>
      <c r="F1108" s="620"/>
      <c r="G1108" s="622"/>
      <c r="H1108" s="620">
        <v>3</v>
      </c>
      <c r="I1108" s="677">
        <f>SUM(I1109:I1111)</f>
        <v>3899</v>
      </c>
      <c r="J1108" s="677">
        <f>SUM(J1109:J1111)</f>
        <v>38.78</v>
      </c>
      <c r="K1108" s="665">
        <f>I1108+J1108</f>
        <v>3937.78</v>
      </c>
      <c r="L1108" s="622">
        <f>H1108*I1108</f>
        <v>11697</v>
      </c>
      <c r="M1108" s="622">
        <f>H1108*J1108</f>
        <v>116.34</v>
      </c>
      <c r="N1108" s="622">
        <f>L1108+M1108</f>
        <v>11813.34</v>
      </c>
      <c r="O1108" s="622">
        <f>N1108*$P$4</f>
        <v>2901.3563040000004</v>
      </c>
      <c r="P1108" s="622">
        <f>N1108+O1108</f>
        <v>14714.696304000001</v>
      </c>
      <c r="Q1108" s="609"/>
      <c r="R1108" s="609"/>
      <c r="S1108" s="609"/>
      <c r="T1108" s="609"/>
      <c r="U1108" s="609"/>
      <c r="V1108" s="609"/>
      <c r="W1108" s="609"/>
      <c r="X1108" s="609"/>
      <c r="Y1108" s="609"/>
      <c r="Z1108" s="609"/>
      <c r="AA1108" s="609"/>
      <c r="AB1108" s="609"/>
      <c r="AC1108" s="609"/>
      <c r="AD1108" s="609"/>
      <c r="AE1108" s="609"/>
      <c r="AF1108" s="609"/>
      <c r="AG1108" s="609"/>
      <c r="AH1108" s="609"/>
      <c r="AI1108" s="609"/>
      <c r="AJ1108" s="609"/>
      <c r="AK1108" s="609"/>
      <c r="AL1108" s="609"/>
      <c r="AM1108" s="609"/>
      <c r="AN1108" s="609"/>
      <c r="AO1108" s="609"/>
      <c r="AP1108" s="609"/>
      <c r="AQ1108" s="609"/>
      <c r="AR1108" s="609"/>
      <c r="AS1108" s="609"/>
      <c r="AT1108" s="609"/>
      <c r="AU1108" s="609"/>
      <c r="AV1108" s="609"/>
      <c r="AW1108" s="609"/>
      <c r="AX1108" s="609"/>
      <c r="AY1108" s="609"/>
      <c r="AZ1108" s="609"/>
      <c r="BA1108" s="609"/>
      <c r="BB1108" s="609"/>
      <c r="BC1108" s="609"/>
      <c r="BD1108" s="609"/>
      <c r="BE1108" s="609"/>
      <c r="BF1108" s="609"/>
      <c r="BG1108" s="609"/>
      <c r="BH1108" s="609"/>
      <c r="BI1108" s="609"/>
      <c r="BJ1108" s="609"/>
      <c r="BK1108" s="609"/>
      <c r="BL1108" s="609"/>
      <c r="BM1108" s="609"/>
      <c r="BN1108" s="609"/>
      <c r="BO1108" s="609"/>
      <c r="BP1108" s="609"/>
      <c r="BQ1108" s="609"/>
      <c r="BR1108" s="609"/>
      <c r="BS1108" s="609"/>
      <c r="BT1108" s="609"/>
      <c r="BU1108" s="609"/>
      <c r="BV1108" s="609"/>
      <c r="BW1108" s="609"/>
      <c r="BX1108" s="609"/>
      <c r="BY1108" s="609"/>
      <c r="BZ1108" s="609"/>
      <c r="CA1108" s="609"/>
      <c r="CB1108" s="609"/>
      <c r="CC1108" s="609"/>
      <c r="CD1108" s="609"/>
      <c r="CE1108" s="609"/>
      <c r="CF1108" s="609"/>
      <c r="CG1108" s="609"/>
      <c r="CH1108" s="609"/>
      <c r="CI1108" s="609"/>
      <c r="CJ1108" s="609"/>
      <c r="CK1108" s="609"/>
      <c r="CL1108" s="609"/>
      <c r="CM1108" s="609"/>
      <c r="CN1108" s="609"/>
      <c r="CO1108" s="609"/>
      <c r="CP1108" s="609"/>
      <c r="CQ1108" s="609"/>
      <c r="CR1108" s="609"/>
      <c r="CS1108" s="609"/>
      <c r="CT1108" s="609"/>
      <c r="CU1108" s="609"/>
      <c r="CV1108" s="609"/>
      <c r="CW1108" s="609"/>
      <c r="CX1108" s="609"/>
      <c r="CY1108" s="609"/>
      <c r="CZ1108" s="609"/>
      <c r="DA1108" s="609"/>
      <c r="DB1108" s="609"/>
      <c r="DC1108" s="609"/>
      <c r="DD1108" s="609"/>
      <c r="DE1108" s="609"/>
      <c r="DF1108" s="609"/>
      <c r="DG1108" s="609"/>
      <c r="DH1108" s="609"/>
      <c r="DI1108" s="609"/>
      <c r="DJ1108" s="609"/>
      <c r="DK1108" s="609"/>
      <c r="DL1108" s="609"/>
      <c r="DM1108" s="609"/>
      <c r="DN1108" s="609"/>
      <c r="DO1108" s="609"/>
      <c r="DP1108" s="609"/>
      <c r="DQ1108" s="609"/>
      <c r="DR1108" s="609"/>
      <c r="DS1108" s="609"/>
      <c r="DT1108" s="609"/>
      <c r="DU1108" s="609"/>
      <c r="DV1108" s="609"/>
      <c r="DW1108" s="609"/>
      <c r="DX1108" s="609"/>
      <c r="DY1108" s="609"/>
      <c r="DZ1108" s="609"/>
      <c r="EA1108" s="609"/>
      <c r="EB1108" s="609"/>
      <c r="EC1108" s="609"/>
      <c r="ED1108" s="609"/>
      <c r="EE1108" s="609"/>
      <c r="EF1108" s="609"/>
      <c r="EG1108" s="609"/>
      <c r="EH1108" s="609"/>
      <c r="EI1108" s="609"/>
      <c r="EJ1108" s="609"/>
      <c r="EK1108" s="609"/>
      <c r="EL1108" s="609"/>
      <c r="EM1108" s="609"/>
      <c r="EN1108" s="609"/>
      <c r="EO1108" s="609"/>
      <c r="EP1108" s="609"/>
      <c r="EQ1108" s="609"/>
      <c r="ER1108" s="609"/>
      <c r="ES1108" s="609"/>
      <c r="ET1108" s="609"/>
      <c r="EU1108" s="609"/>
      <c r="EV1108" s="609"/>
      <c r="EW1108" s="609"/>
      <c r="EX1108" s="609"/>
      <c r="EY1108" s="609"/>
      <c r="EZ1108" s="609"/>
      <c r="FA1108" s="609"/>
      <c r="FB1108" s="609"/>
      <c r="FC1108" s="609"/>
      <c r="FD1108" s="609"/>
      <c r="FE1108" s="609"/>
      <c r="FF1108" s="609"/>
      <c r="FG1108" s="609"/>
      <c r="FH1108" s="609"/>
      <c r="FI1108" s="609"/>
      <c r="FJ1108" s="609"/>
      <c r="FK1108" s="609"/>
      <c r="FL1108" s="609"/>
      <c r="FM1108" s="609"/>
      <c r="FN1108" s="609"/>
      <c r="FO1108" s="609"/>
      <c r="FP1108" s="609"/>
      <c r="FQ1108" s="609"/>
      <c r="FR1108" s="609"/>
      <c r="FS1108" s="609"/>
      <c r="FT1108" s="609"/>
      <c r="FU1108" s="609"/>
      <c r="FV1108" s="609"/>
      <c r="FW1108" s="609"/>
      <c r="FX1108" s="609"/>
      <c r="FY1108" s="609"/>
      <c r="FZ1108" s="609"/>
      <c r="GA1108" s="609"/>
      <c r="GB1108" s="609"/>
      <c r="GC1108" s="609"/>
      <c r="GD1108" s="609"/>
      <c r="GE1108" s="609"/>
      <c r="GF1108" s="609"/>
      <c r="GG1108" s="609"/>
      <c r="GH1108" s="609"/>
      <c r="GI1108" s="609"/>
      <c r="GJ1108" s="609"/>
      <c r="GK1108" s="609"/>
      <c r="GL1108" s="609"/>
      <c r="GM1108" s="609"/>
      <c r="GN1108" s="609"/>
      <c r="GO1108" s="609"/>
      <c r="GP1108" s="609"/>
      <c r="GQ1108" s="609"/>
      <c r="GR1108" s="609"/>
      <c r="GS1108" s="609"/>
      <c r="GT1108" s="609"/>
      <c r="GU1108" s="609"/>
      <c r="GV1108" s="609"/>
      <c r="GW1108" s="609"/>
      <c r="GX1108" s="609"/>
      <c r="GY1108" s="609"/>
      <c r="GZ1108" s="609"/>
      <c r="HA1108" s="609"/>
      <c r="HB1108" s="609"/>
      <c r="HC1108" s="609"/>
      <c r="HD1108" s="609"/>
      <c r="HE1108" s="609"/>
      <c r="HF1108" s="609"/>
      <c r="HG1108" s="609"/>
      <c r="HH1108" s="609"/>
      <c r="HI1108" s="609"/>
      <c r="HJ1108" s="609"/>
      <c r="HK1108" s="609"/>
      <c r="HL1108" s="609"/>
      <c r="HM1108" s="609"/>
      <c r="HN1108" s="609"/>
      <c r="HO1108" s="609"/>
      <c r="HP1108" s="609"/>
      <c r="HQ1108" s="609"/>
      <c r="HR1108" s="609"/>
      <c r="HS1108" s="609"/>
      <c r="HT1108" s="609"/>
      <c r="HU1108" s="609"/>
      <c r="HV1108" s="609"/>
      <c r="HW1108" s="609"/>
      <c r="HX1108" s="609"/>
      <c r="HY1108" s="609"/>
      <c r="HZ1108" s="609"/>
      <c r="IA1108" s="609"/>
      <c r="IB1108" s="609"/>
      <c r="IC1108" s="609"/>
      <c r="ID1108" s="609"/>
      <c r="IE1108" s="609"/>
      <c r="IF1108" s="609"/>
      <c r="IG1108" s="609"/>
      <c r="IH1108" s="609"/>
      <c r="II1108" s="609"/>
      <c r="IJ1108" s="609"/>
      <c r="IK1108" s="609"/>
      <c r="IL1108" s="609"/>
      <c r="IM1108" s="609"/>
      <c r="IN1108" s="609"/>
      <c r="IO1108" s="609"/>
      <c r="IP1108" s="609"/>
      <c r="IQ1108" s="609"/>
      <c r="IR1108" s="609"/>
      <c r="IS1108" s="609"/>
      <c r="IT1108" s="609"/>
      <c r="IU1108" s="609"/>
      <c r="IV1108" s="609"/>
    </row>
    <row r="1109" spans="1:256" s="642" customFormat="1" ht="24" x14ac:dyDescent="0.25">
      <c r="A1109" s="634" t="s">
        <v>1705</v>
      </c>
      <c r="B1109" s="679"/>
      <c r="C1109" s="636"/>
      <c r="D1109" s="726" t="s">
        <v>1801</v>
      </c>
      <c r="E1109" s="636" t="s">
        <v>251</v>
      </c>
      <c r="F1109" s="612">
        <v>1</v>
      </c>
      <c r="G1109" s="681">
        <v>3899</v>
      </c>
      <c r="H1109" s="612"/>
      <c r="I1109" s="695">
        <f>ROUND(F1109*G1109,2)</f>
        <v>3899</v>
      </c>
      <c r="J1109" s="695" t="s">
        <v>1207</v>
      </c>
      <c r="K1109" s="695"/>
      <c r="L1109" s="695"/>
      <c r="M1109" s="695"/>
      <c r="N1109" s="695"/>
      <c r="O1109" s="695"/>
      <c r="P1109" s="695"/>
      <c r="Q1109" s="609"/>
      <c r="R1109" s="609"/>
      <c r="S1109" s="609"/>
      <c r="T1109" s="609"/>
      <c r="U1109" s="609"/>
      <c r="V1109" s="609"/>
      <c r="W1109" s="609"/>
      <c r="X1109" s="609"/>
      <c r="Y1109" s="609"/>
      <c r="Z1109" s="609"/>
      <c r="AA1109" s="609"/>
      <c r="AB1109" s="609"/>
      <c r="AC1109" s="609"/>
      <c r="AD1109" s="609"/>
      <c r="AE1109" s="609"/>
      <c r="AF1109" s="609"/>
      <c r="AG1109" s="609"/>
      <c r="AH1109" s="609"/>
      <c r="AI1109" s="609"/>
      <c r="AJ1109" s="609"/>
      <c r="AK1109" s="609"/>
      <c r="AL1109" s="609"/>
      <c r="AM1109" s="609"/>
      <c r="AN1109" s="609"/>
      <c r="AO1109" s="609"/>
      <c r="AP1109" s="609"/>
      <c r="AQ1109" s="609"/>
      <c r="AR1109" s="609"/>
      <c r="AS1109" s="609"/>
      <c r="AT1109" s="609"/>
      <c r="AU1109" s="609"/>
      <c r="AV1109" s="609"/>
      <c r="AW1109" s="609"/>
      <c r="AX1109" s="609"/>
      <c r="AY1109" s="609"/>
      <c r="AZ1109" s="609"/>
      <c r="BA1109" s="609"/>
      <c r="BB1109" s="609"/>
      <c r="BC1109" s="609"/>
      <c r="BD1109" s="609"/>
      <c r="BE1109" s="609"/>
      <c r="BF1109" s="609"/>
      <c r="BG1109" s="609"/>
      <c r="BH1109" s="609"/>
      <c r="BI1109" s="609"/>
      <c r="BJ1109" s="609"/>
      <c r="BK1109" s="609"/>
      <c r="BL1109" s="609"/>
      <c r="BM1109" s="609"/>
      <c r="BN1109" s="609"/>
      <c r="BO1109" s="609"/>
      <c r="BP1109" s="609"/>
      <c r="BQ1109" s="609"/>
      <c r="BR1109" s="609"/>
      <c r="BS1109" s="609"/>
      <c r="BT1109" s="609"/>
      <c r="BU1109" s="609"/>
      <c r="BV1109" s="609"/>
      <c r="BW1109" s="609"/>
      <c r="BX1109" s="609"/>
      <c r="BY1109" s="609"/>
      <c r="BZ1109" s="609"/>
      <c r="CA1109" s="609"/>
      <c r="CB1109" s="609"/>
      <c r="CC1109" s="609"/>
      <c r="CD1109" s="609"/>
      <c r="CE1109" s="609"/>
      <c r="CF1109" s="609"/>
      <c r="CG1109" s="609"/>
      <c r="CH1109" s="609"/>
      <c r="CI1109" s="609"/>
      <c r="CJ1109" s="609"/>
      <c r="CK1109" s="609"/>
      <c r="CL1109" s="609"/>
      <c r="CM1109" s="609"/>
      <c r="CN1109" s="609"/>
      <c r="CO1109" s="609"/>
      <c r="CP1109" s="609"/>
      <c r="CQ1109" s="609"/>
      <c r="CR1109" s="609"/>
      <c r="CS1109" s="609"/>
      <c r="CT1109" s="609"/>
      <c r="CU1109" s="609"/>
      <c r="CV1109" s="609"/>
      <c r="CW1109" s="609"/>
      <c r="CX1109" s="609"/>
      <c r="CY1109" s="609"/>
      <c r="CZ1109" s="609"/>
      <c r="DA1109" s="609"/>
      <c r="DB1109" s="609"/>
      <c r="DC1109" s="609"/>
      <c r="DD1109" s="609"/>
      <c r="DE1109" s="609"/>
      <c r="DF1109" s="609"/>
      <c r="DG1109" s="609"/>
      <c r="DH1109" s="609"/>
      <c r="DI1109" s="609"/>
      <c r="DJ1109" s="609"/>
      <c r="DK1109" s="609"/>
      <c r="DL1109" s="609"/>
      <c r="DM1109" s="609"/>
      <c r="DN1109" s="609"/>
      <c r="DO1109" s="609"/>
      <c r="DP1109" s="609"/>
      <c r="DQ1109" s="609"/>
      <c r="DR1109" s="609"/>
      <c r="DS1109" s="609"/>
      <c r="DT1109" s="609"/>
      <c r="DU1109" s="609"/>
      <c r="DV1109" s="609"/>
      <c r="DW1109" s="609"/>
      <c r="DX1109" s="609"/>
      <c r="DY1109" s="609"/>
      <c r="DZ1109" s="609"/>
      <c r="EA1109" s="609"/>
      <c r="EB1109" s="609"/>
      <c r="EC1109" s="609"/>
      <c r="ED1109" s="609"/>
      <c r="EE1109" s="609"/>
      <c r="EF1109" s="609"/>
      <c r="EG1109" s="609"/>
      <c r="EH1109" s="609"/>
      <c r="EI1109" s="609"/>
      <c r="EJ1109" s="609"/>
      <c r="EK1109" s="609"/>
      <c r="EL1109" s="609"/>
      <c r="EM1109" s="609"/>
      <c r="EN1109" s="609"/>
      <c r="EO1109" s="609"/>
      <c r="EP1109" s="609"/>
      <c r="EQ1109" s="609"/>
      <c r="ER1109" s="609"/>
      <c r="ES1109" s="609"/>
      <c r="ET1109" s="609"/>
      <c r="EU1109" s="609"/>
      <c r="EV1109" s="609"/>
      <c r="EW1109" s="609"/>
      <c r="EX1109" s="609"/>
      <c r="EY1109" s="609"/>
      <c r="EZ1109" s="609"/>
      <c r="FA1109" s="609"/>
      <c r="FB1109" s="609"/>
      <c r="FC1109" s="609"/>
      <c r="FD1109" s="609"/>
      <c r="FE1109" s="609"/>
      <c r="FF1109" s="609"/>
      <c r="FG1109" s="609"/>
      <c r="FH1109" s="609"/>
      <c r="FI1109" s="609"/>
      <c r="FJ1109" s="609"/>
      <c r="FK1109" s="609"/>
      <c r="FL1109" s="609"/>
      <c r="FM1109" s="609"/>
      <c r="FN1109" s="609"/>
      <c r="FO1109" s="609"/>
      <c r="FP1109" s="609"/>
      <c r="FQ1109" s="609"/>
      <c r="FR1109" s="609"/>
      <c r="FS1109" s="609"/>
      <c r="FT1109" s="609"/>
      <c r="FU1109" s="609"/>
      <c r="FV1109" s="609"/>
      <c r="FW1109" s="609"/>
      <c r="FX1109" s="609"/>
      <c r="FY1109" s="609"/>
      <c r="FZ1109" s="609"/>
      <c r="GA1109" s="609"/>
      <c r="GB1109" s="609"/>
      <c r="GC1109" s="609"/>
      <c r="GD1109" s="609"/>
      <c r="GE1109" s="609"/>
      <c r="GF1109" s="609"/>
      <c r="GG1109" s="609"/>
      <c r="GH1109" s="609"/>
      <c r="GI1109" s="609"/>
      <c r="GJ1109" s="609"/>
      <c r="GK1109" s="609"/>
      <c r="GL1109" s="609"/>
      <c r="GM1109" s="609"/>
      <c r="GN1109" s="609"/>
      <c r="GO1109" s="609"/>
      <c r="GP1109" s="609"/>
      <c r="GQ1109" s="609"/>
      <c r="GR1109" s="609"/>
      <c r="GS1109" s="609"/>
      <c r="GT1109" s="609"/>
      <c r="GU1109" s="609"/>
      <c r="GV1109" s="609"/>
      <c r="GW1109" s="609"/>
      <c r="GX1109" s="609"/>
      <c r="GY1109" s="609"/>
      <c r="GZ1109" s="609"/>
      <c r="HA1109" s="609"/>
      <c r="HB1109" s="609"/>
      <c r="HC1109" s="609"/>
      <c r="HD1109" s="609"/>
      <c r="HE1109" s="609"/>
      <c r="HF1109" s="609"/>
      <c r="HG1109" s="609"/>
      <c r="HH1109" s="609"/>
      <c r="HI1109" s="609"/>
      <c r="HJ1109" s="609"/>
      <c r="HK1109" s="609"/>
      <c r="HL1109" s="609"/>
      <c r="HM1109" s="609"/>
      <c r="HN1109" s="609"/>
      <c r="HO1109" s="609"/>
      <c r="HP1109" s="609"/>
      <c r="HQ1109" s="609"/>
      <c r="HR1109" s="609"/>
      <c r="HS1109" s="609"/>
      <c r="HT1109" s="609"/>
      <c r="HU1109" s="609"/>
      <c r="HV1109" s="609"/>
      <c r="HW1109" s="609"/>
      <c r="HX1109" s="609"/>
      <c r="HY1109" s="609"/>
      <c r="HZ1109" s="609"/>
      <c r="IA1109" s="609"/>
      <c r="IB1109" s="609"/>
      <c r="IC1109" s="609"/>
      <c r="ID1109" s="609"/>
      <c r="IE1109" s="609"/>
      <c r="IF1109" s="609"/>
      <c r="IG1109" s="609"/>
      <c r="IH1109" s="609"/>
      <c r="II1109" s="609"/>
      <c r="IJ1109" s="609"/>
      <c r="IK1109" s="609"/>
      <c r="IL1109" s="609"/>
      <c r="IM1109" s="609"/>
      <c r="IN1109" s="609"/>
      <c r="IO1109" s="609"/>
      <c r="IP1109" s="609"/>
      <c r="IQ1109" s="609"/>
      <c r="IR1109" s="609"/>
      <c r="IS1109" s="609"/>
      <c r="IT1109" s="609"/>
      <c r="IU1109" s="609"/>
      <c r="IV1109" s="609"/>
    </row>
    <row r="1110" spans="1:256" s="642" customFormat="1" x14ac:dyDescent="0.25">
      <c r="A1110" s="634" t="s">
        <v>277</v>
      </c>
      <c r="B1110" s="634">
        <v>2439</v>
      </c>
      <c r="C1110" s="636"/>
      <c r="D1110" s="612" t="s">
        <v>1707</v>
      </c>
      <c r="E1110" s="636" t="s">
        <v>229</v>
      </c>
      <c r="F1110" s="612">
        <v>1.5</v>
      </c>
      <c r="G1110" s="681">
        <v>16.2</v>
      </c>
      <c r="H1110" s="612"/>
      <c r="I1110" s="695"/>
      <c r="J1110" s="695">
        <f>ROUND(F1110*G1110,2)</f>
        <v>24.3</v>
      </c>
      <c r="K1110" s="695"/>
      <c r="L1110" s="695"/>
      <c r="M1110" s="695"/>
      <c r="N1110" s="695"/>
      <c r="O1110" s="695"/>
      <c r="P1110" s="695"/>
      <c r="Q1110" s="609"/>
      <c r="R1110" s="609"/>
      <c r="S1110" s="609"/>
      <c r="T1110" s="609"/>
      <c r="U1110" s="609"/>
      <c r="V1110" s="609"/>
      <c r="W1110" s="609"/>
      <c r="X1110" s="609"/>
      <c r="Y1110" s="609"/>
      <c r="Z1110" s="609"/>
      <c r="AA1110" s="609"/>
      <c r="AB1110" s="609"/>
      <c r="AC1110" s="609"/>
      <c r="AD1110" s="609"/>
      <c r="AE1110" s="609"/>
      <c r="AF1110" s="609"/>
      <c r="AG1110" s="609"/>
      <c r="AH1110" s="609"/>
      <c r="AI1110" s="609"/>
      <c r="AJ1110" s="609"/>
      <c r="AK1110" s="609"/>
      <c r="AL1110" s="609"/>
      <c r="AM1110" s="609"/>
      <c r="AN1110" s="609"/>
      <c r="AO1110" s="609"/>
      <c r="AP1110" s="609"/>
      <c r="AQ1110" s="609"/>
      <c r="AR1110" s="609"/>
      <c r="AS1110" s="609"/>
      <c r="AT1110" s="609"/>
      <c r="AU1110" s="609"/>
      <c r="AV1110" s="609"/>
      <c r="AW1110" s="609"/>
      <c r="AX1110" s="609"/>
      <c r="AY1110" s="609"/>
      <c r="AZ1110" s="609"/>
      <c r="BA1110" s="609"/>
      <c r="BB1110" s="609"/>
      <c r="BC1110" s="609"/>
      <c r="BD1110" s="609"/>
      <c r="BE1110" s="609"/>
      <c r="BF1110" s="609"/>
      <c r="BG1110" s="609"/>
      <c r="BH1110" s="609"/>
      <c r="BI1110" s="609"/>
      <c r="BJ1110" s="609"/>
      <c r="BK1110" s="609"/>
      <c r="BL1110" s="609"/>
      <c r="BM1110" s="609"/>
      <c r="BN1110" s="609"/>
      <c r="BO1110" s="609"/>
      <c r="BP1110" s="609"/>
      <c r="BQ1110" s="609"/>
      <c r="BR1110" s="609"/>
      <c r="BS1110" s="609"/>
      <c r="BT1110" s="609"/>
      <c r="BU1110" s="609"/>
      <c r="BV1110" s="609"/>
      <c r="BW1110" s="609"/>
      <c r="BX1110" s="609"/>
      <c r="BY1110" s="609"/>
      <c r="BZ1110" s="609"/>
      <c r="CA1110" s="609"/>
      <c r="CB1110" s="609"/>
      <c r="CC1110" s="609"/>
      <c r="CD1110" s="609"/>
      <c r="CE1110" s="609"/>
      <c r="CF1110" s="609"/>
      <c r="CG1110" s="609"/>
      <c r="CH1110" s="609"/>
      <c r="CI1110" s="609"/>
      <c r="CJ1110" s="609"/>
      <c r="CK1110" s="609"/>
      <c r="CL1110" s="609"/>
      <c r="CM1110" s="609"/>
      <c r="CN1110" s="609"/>
      <c r="CO1110" s="609"/>
      <c r="CP1110" s="609"/>
      <c r="CQ1110" s="609"/>
      <c r="CR1110" s="609"/>
      <c r="CS1110" s="609"/>
      <c r="CT1110" s="609"/>
      <c r="CU1110" s="609"/>
      <c r="CV1110" s="609"/>
      <c r="CW1110" s="609"/>
      <c r="CX1110" s="609"/>
      <c r="CY1110" s="609"/>
      <c r="CZ1110" s="609"/>
      <c r="DA1110" s="609"/>
      <c r="DB1110" s="609"/>
      <c r="DC1110" s="609"/>
      <c r="DD1110" s="609"/>
      <c r="DE1110" s="609"/>
      <c r="DF1110" s="609"/>
      <c r="DG1110" s="609"/>
      <c r="DH1110" s="609"/>
      <c r="DI1110" s="609"/>
      <c r="DJ1110" s="609"/>
      <c r="DK1110" s="609"/>
      <c r="DL1110" s="609"/>
      <c r="DM1110" s="609"/>
      <c r="DN1110" s="609"/>
      <c r="DO1110" s="609"/>
      <c r="DP1110" s="609"/>
      <c r="DQ1110" s="609"/>
      <c r="DR1110" s="609"/>
      <c r="DS1110" s="609"/>
      <c r="DT1110" s="609"/>
      <c r="DU1110" s="609"/>
      <c r="DV1110" s="609"/>
      <c r="DW1110" s="609"/>
      <c r="DX1110" s="609"/>
      <c r="DY1110" s="609"/>
      <c r="DZ1110" s="609"/>
      <c r="EA1110" s="609"/>
      <c r="EB1110" s="609"/>
      <c r="EC1110" s="609"/>
      <c r="ED1110" s="609"/>
      <c r="EE1110" s="609"/>
      <c r="EF1110" s="609"/>
      <c r="EG1110" s="609"/>
      <c r="EH1110" s="609"/>
      <c r="EI1110" s="609"/>
      <c r="EJ1110" s="609"/>
      <c r="EK1110" s="609"/>
      <c r="EL1110" s="609"/>
      <c r="EM1110" s="609"/>
      <c r="EN1110" s="609"/>
      <c r="EO1110" s="609"/>
      <c r="EP1110" s="609"/>
      <c r="EQ1110" s="609"/>
      <c r="ER1110" s="609"/>
      <c r="ES1110" s="609"/>
      <c r="ET1110" s="609"/>
      <c r="EU1110" s="609"/>
      <c r="EV1110" s="609"/>
      <c r="EW1110" s="609"/>
      <c r="EX1110" s="609"/>
      <c r="EY1110" s="609"/>
      <c r="EZ1110" s="609"/>
      <c r="FA1110" s="609"/>
      <c r="FB1110" s="609"/>
      <c r="FC1110" s="609"/>
      <c r="FD1110" s="609"/>
      <c r="FE1110" s="609"/>
      <c r="FF1110" s="609"/>
      <c r="FG1110" s="609"/>
      <c r="FH1110" s="609"/>
      <c r="FI1110" s="609"/>
      <c r="FJ1110" s="609"/>
      <c r="FK1110" s="609"/>
      <c r="FL1110" s="609"/>
      <c r="FM1110" s="609"/>
      <c r="FN1110" s="609"/>
      <c r="FO1110" s="609"/>
      <c r="FP1110" s="609"/>
      <c r="FQ1110" s="609"/>
      <c r="FR1110" s="609"/>
      <c r="FS1110" s="609"/>
      <c r="FT1110" s="609"/>
      <c r="FU1110" s="609"/>
      <c r="FV1110" s="609"/>
      <c r="FW1110" s="609"/>
      <c r="FX1110" s="609"/>
      <c r="FY1110" s="609"/>
      <c r="FZ1110" s="609"/>
      <c r="GA1110" s="609"/>
      <c r="GB1110" s="609"/>
      <c r="GC1110" s="609"/>
      <c r="GD1110" s="609"/>
      <c r="GE1110" s="609"/>
      <c r="GF1110" s="609"/>
      <c r="GG1110" s="609"/>
      <c r="GH1110" s="609"/>
      <c r="GI1110" s="609"/>
      <c r="GJ1110" s="609"/>
      <c r="GK1110" s="609"/>
      <c r="GL1110" s="609"/>
      <c r="GM1110" s="609"/>
      <c r="GN1110" s="609"/>
      <c r="GO1110" s="609"/>
      <c r="GP1110" s="609"/>
      <c r="GQ1110" s="609"/>
      <c r="GR1110" s="609"/>
      <c r="GS1110" s="609"/>
      <c r="GT1110" s="609"/>
      <c r="GU1110" s="609"/>
      <c r="GV1110" s="609"/>
      <c r="GW1110" s="609"/>
      <c r="GX1110" s="609"/>
      <c r="GY1110" s="609"/>
      <c r="GZ1110" s="609"/>
      <c r="HA1110" s="609"/>
      <c r="HB1110" s="609"/>
      <c r="HC1110" s="609"/>
      <c r="HD1110" s="609"/>
      <c r="HE1110" s="609"/>
      <c r="HF1110" s="609"/>
      <c r="HG1110" s="609"/>
      <c r="HH1110" s="609"/>
      <c r="HI1110" s="609"/>
      <c r="HJ1110" s="609"/>
      <c r="HK1110" s="609"/>
      <c r="HL1110" s="609"/>
      <c r="HM1110" s="609"/>
      <c r="HN1110" s="609"/>
      <c r="HO1110" s="609"/>
      <c r="HP1110" s="609"/>
      <c r="HQ1110" s="609"/>
      <c r="HR1110" s="609"/>
      <c r="HS1110" s="609"/>
      <c r="HT1110" s="609"/>
      <c r="HU1110" s="609"/>
      <c r="HV1110" s="609"/>
      <c r="HW1110" s="609"/>
      <c r="HX1110" s="609"/>
      <c r="HY1110" s="609"/>
      <c r="HZ1110" s="609"/>
      <c r="IA1110" s="609"/>
      <c r="IB1110" s="609"/>
      <c r="IC1110" s="609"/>
      <c r="ID1110" s="609"/>
      <c r="IE1110" s="609"/>
      <c r="IF1110" s="609"/>
      <c r="IG1110" s="609"/>
      <c r="IH1110" s="609"/>
      <c r="II1110" s="609"/>
      <c r="IJ1110" s="609"/>
      <c r="IK1110" s="609"/>
      <c r="IL1110" s="609"/>
      <c r="IM1110" s="609"/>
      <c r="IN1110" s="609"/>
      <c r="IO1110" s="609"/>
      <c r="IP1110" s="609"/>
      <c r="IQ1110" s="609"/>
      <c r="IR1110" s="609"/>
      <c r="IS1110" s="609"/>
      <c r="IT1110" s="609"/>
      <c r="IU1110" s="609"/>
      <c r="IV1110" s="609"/>
    </row>
    <row r="1111" spans="1:256" s="642" customFormat="1" x14ac:dyDescent="0.25">
      <c r="A1111" s="634" t="s">
        <v>277</v>
      </c>
      <c r="B1111" s="634">
        <v>247</v>
      </c>
      <c r="C1111" s="636"/>
      <c r="D1111" s="635" t="s">
        <v>1070</v>
      </c>
      <c r="E1111" s="636" t="s">
        <v>229</v>
      </c>
      <c r="F1111" s="612">
        <v>1.5</v>
      </c>
      <c r="G1111" s="681">
        <v>9.65</v>
      </c>
      <c r="H1111" s="612"/>
      <c r="I1111" s="695"/>
      <c r="J1111" s="695">
        <f>ROUND(F1111*G1111,2)</f>
        <v>14.48</v>
      </c>
      <c r="K1111" s="695"/>
      <c r="L1111" s="695"/>
      <c r="M1111" s="695"/>
      <c r="N1111" s="695"/>
      <c r="O1111" s="695"/>
      <c r="P1111" s="695"/>
      <c r="Q1111" s="609"/>
      <c r="R1111" s="609"/>
      <c r="S1111" s="609"/>
      <c r="T1111" s="609"/>
      <c r="U1111" s="609"/>
      <c r="V1111" s="609"/>
      <c r="W1111" s="609"/>
      <c r="X1111" s="609"/>
      <c r="Y1111" s="609"/>
      <c r="Z1111" s="609"/>
      <c r="AA1111" s="609"/>
      <c r="AB1111" s="609"/>
      <c r="AC1111" s="609"/>
      <c r="AD1111" s="609"/>
      <c r="AE1111" s="609"/>
      <c r="AF1111" s="609"/>
      <c r="AG1111" s="609"/>
      <c r="AH1111" s="609"/>
      <c r="AI1111" s="609"/>
      <c r="AJ1111" s="609"/>
      <c r="AK1111" s="609"/>
      <c r="AL1111" s="609"/>
      <c r="AM1111" s="609"/>
      <c r="AN1111" s="609"/>
      <c r="AO1111" s="609"/>
      <c r="AP1111" s="609"/>
      <c r="AQ1111" s="609"/>
      <c r="AR1111" s="609"/>
      <c r="AS1111" s="609"/>
      <c r="AT1111" s="609"/>
      <c r="AU1111" s="609"/>
      <c r="AV1111" s="609"/>
      <c r="AW1111" s="609"/>
      <c r="AX1111" s="609"/>
      <c r="AY1111" s="609"/>
      <c r="AZ1111" s="609"/>
      <c r="BA1111" s="609"/>
      <c r="BB1111" s="609"/>
      <c r="BC1111" s="609"/>
      <c r="BD1111" s="609"/>
      <c r="BE1111" s="609"/>
      <c r="BF1111" s="609"/>
      <c r="BG1111" s="609"/>
      <c r="BH1111" s="609"/>
      <c r="BI1111" s="609"/>
      <c r="BJ1111" s="609"/>
      <c r="BK1111" s="609"/>
      <c r="BL1111" s="609"/>
      <c r="BM1111" s="609"/>
      <c r="BN1111" s="609"/>
      <c r="BO1111" s="609"/>
      <c r="BP1111" s="609"/>
      <c r="BQ1111" s="609"/>
      <c r="BR1111" s="609"/>
      <c r="BS1111" s="609"/>
      <c r="BT1111" s="609"/>
      <c r="BU1111" s="609"/>
      <c r="BV1111" s="609"/>
      <c r="BW1111" s="609"/>
      <c r="BX1111" s="609"/>
      <c r="BY1111" s="609"/>
      <c r="BZ1111" s="609"/>
      <c r="CA1111" s="609"/>
      <c r="CB1111" s="609"/>
      <c r="CC1111" s="609"/>
      <c r="CD1111" s="609"/>
      <c r="CE1111" s="609"/>
      <c r="CF1111" s="609"/>
      <c r="CG1111" s="609"/>
      <c r="CH1111" s="609"/>
      <c r="CI1111" s="609"/>
      <c r="CJ1111" s="609"/>
      <c r="CK1111" s="609"/>
      <c r="CL1111" s="609"/>
      <c r="CM1111" s="609"/>
      <c r="CN1111" s="609"/>
      <c r="CO1111" s="609"/>
      <c r="CP1111" s="609"/>
      <c r="CQ1111" s="609"/>
      <c r="CR1111" s="609"/>
      <c r="CS1111" s="609"/>
      <c r="CT1111" s="609"/>
      <c r="CU1111" s="609"/>
      <c r="CV1111" s="609"/>
      <c r="CW1111" s="609"/>
      <c r="CX1111" s="609"/>
      <c r="CY1111" s="609"/>
      <c r="CZ1111" s="609"/>
      <c r="DA1111" s="609"/>
      <c r="DB1111" s="609"/>
      <c r="DC1111" s="609"/>
      <c r="DD1111" s="609"/>
      <c r="DE1111" s="609"/>
      <c r="DF1111" s="609"/>
      <c r="DG1111" s="609"/>
      <c r="DH1111" s="609"/>
      <c r="DI1111" s="609"/>
      <c r="DJ1111" s="609"/>
      <c r="DK1111" s="609"/>
      <c r="DL1111" s="609"/>
      <c r="DM1111" s="609"/>
      <c r="DN1111" s="609"/>
      <c r="DO1111" s="609"/>
      <c r="DP1111" s="609"/>
      <c r="DQ1111" s="609"/>
      <c r="DR1111" s="609"/>
      <c r="DS1111" s="609"/>
      <c r="DT1111" s="609"/>
      <c r="DU1111" s="609"/>
      <c r="DV1111" s="609"/>
      <c r="DW1111" s="609"/>
      <c r="DX1111" s="609"/>
      <c r="DY1111" s="609"/>
      <c r="DZ1111" s="609"/>
      <c r="EA1111" s="609"/>
      <c r="EB1111" s="609"/>
      <c r="EC1111" s="609"/>
      <c r="ED1111" s="609"/>
      <c r="EE1111" s="609"/>
      <c r="EF1111" s="609"/>
      <c r="EG1111" s="609"/>
      <c r="EH1111" s="609"/>
      <c r="EI1111" s="609"/>
      <c r="EJ1111" s="609"/>
      <c r="EK1111" s="609"/>
      <c r="EL1111" s="609"/>
      <c r="EM1111" s="609"/>
      <c r="EN1111" s="609"/>
      <c r="EO1111" s="609"/>
      <c r="EP1111" s="609"/>
      <c r="EQ1111" s="609"/>
      <c r="ER1111" s="609"/>
      <c r="ES1111" s="609"/>
      <c r="ET1111" s="609"/>
      <c r="EU1111" s="609"/>
      <c r="EV1111" s="609"/>
      <c r="EW1111" s="609"/>
      <c r="EX1111" s="609"/>
      <c r="EY1111" s="609"/>
      <c r="EZ1111" s="609"/>
      <c r="FA1111" s="609"/>
      <c r="FB1111" s="609"/>
      <c r="FC1111" s="609"/>
      <c r="FD1111" s="609"/>
      <c r="FE1111" s="609"/>
      <c r="FF1111" s="609"/>
      <c r="FG1111" s="609"/>
      <c r="FH1111" s="609"/>
      <c r="FI1111" s="609"/>
      <c r="FJ1111" s="609"/>
      <c r="FK1111" s="609"/>
      <c r="FL1111" s="609"/>
      <c r="FM1111" s="609"/>
      <c r="FN1111" s="609"/>
      <c r="FO1111" s="609"/>
      <c r="FP1111" s="609"/>
      <c r="FQ1111" s="609"/>
      <c r="FR1111" s="609"/>
      <c r="FS1111" s="609"/>
      <c r="FT1111" s="609"/>
      <c r="FU1111" s="609"/>
      <c r="FV1111" s="609"/>
      <c r="FW1111" s="609"/>
      <c r="FX1111" s="609"/>
      <c r="FY1111" s="609"/>
      <c r="FZ1111" s="609"/>
      <c r="GA1111" s="609"/>
      <c r="GB1111" s="609"/>
      <c r="GC1111" s="609"/>
      <c r="GD1111" s="609"/>
      <c r="GE1111" s="609"/>
      <c r="GF1111" s="609"/>
      <c r="GG1111" s="609"/>
      <c r="GH1111" s="609"/>
      <c r="GI1111" s="609"/>
      <c r="GJ1111" s="609"/>
      <c r="GK1111" s="609"/>
      <c r="GL1111" s="609"/>
      <c r="GM1111" s="609"/>
      <c r="GN1111" s="609"/>
      <c r="GO1111" s="609"/>
      <c r="GP1111" s="609"/>
      <c r="GQ1111" s="609"/>
      <c r="GR1111" s="609"/>
      <c r="GS1111" s="609"/>
      <c r="GT1111" s="609"/>
      <c r="GU1111" s="609"/>
      <c r="GV1111" s="609"/>
      <c r="GW1111" s="609"/>
      <c r="GX1111" s="609"/>
      <c r="GY1111" s="609"/>
      <c r="GZ1111" s="609"/>
      <c r="HA1111" s="609"/>
      <c r="HB1111" s="609"/>
      <c r="HC1111" s="609"/>
      <c r="HD1111" s="609"/>
      <c r="HE1111" s="609"/>
      <c r="HF1111" s="609"/>
      <c r="HG1111" s="609"/>
      <c r="HH1111" s="609"/>
      <c r="HI1111" s="609"/>
      <c r="HJ1111" s="609"/>
      <c r="HK1111" s="609"/>
      <c r="HL1111" s="609"/>
      <c r="HM1111" s="609"/>
      <c r="HN1111" s="609"/>
      <c r="HO1111" s="609"/>
      <c r="HP1111" s="609"/>
      <c r="HQ1111" s="609"/>
      <c r="HR1111" s="609"/>
      <c r="HS1111" s="609"/>
      <c r="HT1111" s="609"/>
      <c r="HU1111" s="609"/>
      <c r="HV1111" s="609"/>
      <c r="HW1111" s="609"/>
      <c r="HX1111" s="609"/>
      <c r="HY1111" s="609"/>
      <c r="HZ1111" s="609"/>
      <c r="IA1111" s="609"/>
      <c r="IB1111" s="609"/>
      <c r="IC1111" s="609"/>
      <c r="ID1111" s="609"/>
      <c r="IE1111" s="609"/>
      <c r="IF1111" s="609"/>
      <c r="IG1111" s="609"/>
      <c r="IH1111" s="609"/>
      <c r="II1111" s="609"/>
      <c r="IJ1111" s="609"/>
      <c r="IK1111" s="609"/>
      <c r="IL1111" s="609"/>
      <c r="IM1111" s="609"/>
      <c r="IN1111" s="609"/>
      <c r="IO1111" s="609"/>
      <c r="IP1111" s="609"/>
      <c r="IQ1111" s="609"/>
      <c r="IR1111" s="609"/>
      <c r="IS1111" s="609"/>
      <c r="IT1111" s="609"/>
      <c r="IU1111" s="609"/>
      <c r="IV1111" s="609"/>
    </row>
    <row r="1112" spans="1:256" s="642" customFormat="1" x14ac:dyDescent="0.25">
      <c r="A1112" s="675"/>
      <c r="B1112" s="675"/>
      <c r="C1112" s="675" t="s">
        <v>1802</v>
      </c>
      <c r="D1112" s="620" t="s">
        <v>1803</v>
      </c>
      <c r="E1112" s="675" t="s">
        <v>251</v>
      </c>
      <c r="F1112" s="620"/>
      <c r="G1112" s="622"/>
      <c r="H1112" s="620">
        <v>3</v>
      </c>
      <c r="I1112" s="677">
        <f>SUM(I1113:I1115)</f>
        <v>314.10000000000002</v>
      </c>
      <c r="J1112" s="677">
        <f>SUM(J1113:J1115)</f>
        <v>25.85</v>
      </c>
      <c r="K1112" s="665">
        <f>I1112+J1112</f>
        <v>339.95000000000005</v>
      </c>
      <c r="L1112" s="622">
        <f>H1112*I1112</f>
        <v>942.30000000000007</v>
      </c>
      <c r="M1112" s="622">
        <f>H1112*J1112</f>
        <v>77.550000000000011</v>
      </c>
      <c r="N1112" s="622">
        <f>L1112+M1112</f>
        <v>1019.8500000000001</v>
      </c>
      <c r="O1112" s="622">
        <f>N1112*$P$4</f>
        <v>250.47516000000005</v>
      </c>
      <c r="P1112" s="622">
        <f>N1112+O1112</f>
        <v>1270.3251600000001</v>
      </c>
      <c r="Q1112" s="609"/>
      <c r="R1112" s="609"/>
      <c r="S1112" s="609"/>
      <c r="T1112" s="609"/>
      <c r="U1112" s="609"/>
      <c r="V1112" s="609"/>
      <c r="W1112" s="609"/>
      <c r="X1112" s="609"/>
      <c r="Y1112" s="609"/>
      <c r="Z1112" s="609"/>
      <c r="AA1112" s="609"/>
      <c r="AB1112" s="609"/>
      <c r="AC1112" s="609"/>
      <c r="AD1112" s="609"/>
      <c r="AE1112" s="609"/>
      <c r="AF1112" s="609"/>
      <c r="AG1112" s="609"/>
      <c r="AH1112" s="609"/>
      <c r="AI1112" s="609"/>
      <c r="AJ1112" s="609"/>
      <c r="AK1112" s="609"/>
      <c r="AL1112" s="609"/>
      <c r="AM1112" s="609"/>
      <c r="AN1112" s="609"/>
      <c r="AO1112" s="609"/>
      <c r="AP1112" s="609"/>
      <c r="AQ1112" s="609"/>
      <c r="AR1112" s="609"/>
      <c r="AS1112" s="609"/>
      <c r="AT1112" s="609"/>
      <c r="AU1112" s="609"/>
      <c r="AV1112" s="609"/>
      <c r="AW1112" s="609"/>
      <c r="AX1112" s="609"/>
      <c r="AY1112" s="609"/>
      <c r="AZ1112" s="609"/>
      <c r="BA1112" s="609"/>
      <c r="BB1112" s="609"/>
      <c r="BC1112" s="609"/>
      <c r="BD1112" s="609"/>
      <c r="BE1112" s="609"/>
      <c r="BF1112" s="609"/>
      <c r="BG1112" s="609"/>
      <c r="BH1112" s="609"/>
      <c r="BI1112" s="609"/>
      <c r="BJ1112" s="609"/>
      <c r="BK1112" s="609"/>
      <c r="BL1112" s="609"/>
      <c r="BM1112" s="609"/>
      <c r="BN1112" s="609"/>
      <c r="BO1112" s="609"/>
      <c r="BP1112" s="609"/>
      <c r="BQ1112" s="609"/>
      <c r="BR1112" s="609"/>
      <c r="BS1112" s="609"/>
      <c r="BT1112" s="609"/>
      <c r="BU1112" s="609"/>
      <c r="BV1112" s="609"/>
      <c r="BW1112" s="609"/>
      <c r="BX1112" s="609"/>
      <c r="BY1112" s="609"/>
      <c r="BZ1112" s="609"/>
      <c r="CA1112" s="609"/>
      <c r="CB1112" s="609"/>
      <c r="CC1112" s="609"/>
      <c r="CD1112" s="609"/>
      <c r="CE1112" s="609"/>
      <c r="CF1112" s="609"/>
      <c r="CG1112" s="609"/>
      <c r="CH1112" s="609"/>
      <c r="CI1112" s="609"/>
      <c r="CJ1112" s="609"/>
      <c r="CK1112" s="609"/>
      <c r="CL1112" s="609"/>
      <c r="CM1112" s="609"/>
      <c r="CN1112" s="609"/>
      <c r="CO1112" s="609"/>
      <c r="CP1112" s="609"/>
      <c r="CQ1112" s="609"/>
      <c r="CR1112" s="609"/>
      <c r="CS1112" s="609"/>
      <c r="CT1112" s="609"/>
      <c r="CU1112" s="609"/>
      <c r="CV1112" s="609"/>
      <c r="CW1112" s="609"/>
      <c r="CX1112" s="609"/>
      <c r="CY1112" s="609"/>
      <c r="CZ1112" s="609"/>
      <c r="DA1112" s="609"/>
      <c r="DB1112" s="609"/>
      <c r="DC1112" s="609"/>
      <c r="DD1112" s="609"/>
      <c r="DE1112" s="609"/>
      <c r="DF1112" s="609"/>
      <c r="DG1112" s="609"/>
      <c r="DH1112" s="609"/>
      <c r="DI1112" s="609"/>
      <c r="DJ1112" s="609"/>
      <c r="DK1112" s="609"/>
      <c r="DL1112" s="609"/>
      <c r="DM1112" s="609"/>
      <c r="DN1112" s="609"/>
      <c r="DO1112" s="609"/>
      <c r="DP1112" s="609"/>
      <c r="DQ1112" s="609"/>
      <c r="DR1112" s="609"/>
      <c r="DS1112" s="609"/>
      <c r="DT1112" s="609"/>
      <c r="DU1112" s="609"/>
      <c r="DV1112" s="609"/>
      <c r="DW1112" s="609"/>
      <c r="DX1112" s="609"/>
      <c r="DY1112" s="609"/>
      <c r="DZ1112" s="609"/>
      <c r="EA1112" s="609"/>
      <c r="EB1112" s="609"/>
      <c r="EC1112" s="609"/>
      <c r="ED1112" s="609"/>
      <c r="EE1112" s="609"/>
      <c r="EF1112" s="609"/>
      <c r="EG1112" s="609"/>
      <c r="EH1112" s="609"/>
      <c r="EI1112" s="609"/>
      <c r="EJ1112" s="609"/>
      <c r="EK1112" s="609"/>
      <c r="EL1112" s="609"/>
      <c r="EM1112" s="609"/>
      <c r="EN1112" s="609"/>
      <c r="EO1112" s="609"/>
      <c r="EP1112" s="609"/>
      <c r="EQ1112" s="609"/>
      <c r="ER1112" s="609"/>
      <c r="ES1112" s="609"/>
      <c r="ET1112" s="609"/>
      <c r="EU1112" s="609"/>
      <c r="EV1112" s="609"/>
      <c r="EW1112" s="609"/>
      <c r="EX1112" s="609"/>
      <c r="EY1112" s="609"/>
      <c r="EZ1112" s="609"/>
      <c r="FA1112" s="609"/>
      <c r="FB1112" s="609"/>
      <c r="FC1112" s="609"/>
      <c r="FD1112" s="609"/>
      <c r="FE1112" s="609"/>
      <c r="FF1112" s="609"/>
      <c r="FG1112" s="609"/>
      <c r="FH1112" s="609"/>
      <c r="FI1112" s="609"/>
      <c r="FJ1112" s="609"/>
      <c r="FK1112" s="609"/>
      <c r="FL1112" s="609"/>
      <c r="FM1112" s="609"/>
      <c r="FN1112" s="609"/>
      <c r="FO1112" s="609"/>
      <c r="FP1112" s="609"/>
      <c r="FQ1112" s="609"/>
      <c r="FR1112" s="609"/>
      <c r="FS1112" s="609"/>
      <c r="FT1112" s="609"/>
      <c r="FU1112" s="609"/>
      <c r="FV1112" s="609"/>
      <c r="FW1112" s="609"/>
      <c r="FX1112" s="609"/>
      <c r="FY1112" s="609"/>
      <c r="FZ1112" s="609"/>
      <c r="GA1112" s="609"/>
      <c r="GB1112" s="609"/>
      <c r="GC1112" s="609"/>
      <c r="GD1112" s="609"/>
      <c r="GE1112" s="609"/>
      <c r="GF1112" s="609"/>
      <c r="GG1112" s="609"/>
      <c r="GH1112" s="609"/>
      <c r="GI1112" s="609"/>
      <c r="GJ1112" s="609"/>
      <c r="GK1112" s="609"/>
      <c r="GL1112" s="609"/>
      <c r="GM1112" s="609"/>
      <c r="GN1112" s="609"/>
      <c r="GO1112" s="609"/>
      <c r="GP1112" s="609"/>
      <c r="GQ1112" s="609"/>
      <c r="GR1112" s="609"/>
      <c r="GS1112" s="609"/>
      <c r="GT1112" s="609"/>
      <c r="GU1112" s="609"/>
      <c r="GV1112" s="609"/>
      <c r="GW1112" s="609"/>
      <c r="GX1112" s="609"/>
      <c r="GY1112" s="609"/>
      <c r="GZ1112" s="609"/>
      <c r="HA1112" s="609"/>
      <c r="HB1112" s="609"/>
      <c r="HC1112" s="609"/>
      <c r="HD1112" s="609"/>
      <c r="HE1112" s="609"/>
      <c r="HF1112" s="609"/>
      <c r="HG1112" s="609"/>
      <c r="HH1112" s="609"/>
      <c r="HI1112" s="609"/>
      <c r="HJ1112" s="609"/>
      <c r="HK1112" s="609"/>
      <c r="HL1112" s="609"/>
      <c r="HM1112" s="609"/>
      <c r="HN1112" s="609"/>
      <c r="HO1112" s="609"/>
      <c r="HP1112" s="609"/>
      <c r="HQ1112" s="609"/>
      <c r="HR1112" s="609"/>
      <c r="HS1112" s="609"/>
      <c r="HT1112" s="609"/>
      <c r="HU1112" s="609"/>
      <c r="HV1112" s="609"/>
      <c r="HW1112" s="609"/>
      <c r="HX1112" s="609"/>
      <c r="HY1112" s="609"/>
      <c r="HZ1112" s="609"/>
      <c r="IA1112" s="609"/>
      <c r="IB1112" s="609"/>
      <c r="IC1112" s="609"/>
      <c r="ID1112" s="609"/>
      <c r="IE1112" s="609"/>
      <c r="IF1112" s="609"/>
      <c r="IG1112" s="609"/>
      <c r="IH1112" s="609"/>
      <c r="II1112" s="609"/>
      <c r="IJ1112" s="609"/>
      <c r="IK1112" s="609"/>
      <c r="IL1112" s="609"/>
      <c r="IM1112" s="609"/>
      <c r="IN1112" s="609"/>
      <c r="IO1112" s="609"/>
      <c r="IP1112" s="609"/>
      <c r="IQ1112" s="609"/>
      <c r="IR1112" s="609"/>
      <c r="IS1112" s="609"/>
      <c r="IT1112" s="609"/>
      <c r="IU1112" s="609"/>
      <c r="IV1112" s="609"/>
    </row>
    <row r="1113" spans="1:256" s="642" customFormat="1" x14ac:dyDescent="0.25">
      <c r="A1113" s="634" t="s">
        <v>1705</v>
      </c>
      <c r="B1113" s="679"/>
      <c r="C1113" s="636"/>
      <c r="D1113" s="726" t="s">
        <v>1803</v>
      </c>
      <c r="E1113" s="636" t="s">
        <v>251</v>
      </c>
      <c r="F1113" s="612">
        <v>1</v>
      </c>
      <c r="G1113" s="681">
        <v>314.10000000000002</v>
      </c>
      <c r="H1113" s="612"/>
      <c r="I1113" s="695">
        <f>ROUND(F1113*G1113,2)</f>
        <v>314.10000000000002</v>
      </c>
      <c r="J1113" s="695" t="s">
        <v>1207</v>
      </c>
      <c r="K1113" s="695"/>
      <c r="L1113" s="695"/>
      <c r="M1113" s="695"/>
      <c r="N1113" s="695"/>
      <c r="O1113" s="695"/>
      <c r="P1113" s="695"/>
      <c r="Q1113" s="609"/>
      <c r="R1113" s="609"/>
      <c r="S1113" s="609"/>
      <c r="T1113" s="609"/>
      <c r="U1113" s="609"/>
      <c r="V1113" s="609"/>
      <c r="W1113" s="609"/>
      <c r="X1113" s="609"/>
      <c r="Y1113" s="609"/>
      <c r="Z1113" s="609"/>
      <c r="AA1113" s="609"/>
      <c r="AB1113" s="609"/>
      <c r="AC1113" s="609"/>
      <c r="AD1113" s="609"/>
      <c r="AE1113" s="609"/>
      <c r="AF1113" s="609"/>
      <c r="AG1113" s="609"/>
      <c r="AH1113" s="609"/>
      <c r="AI1113" s="609"/>
      <c r="AJ1113" s="609"/>
      <c r="AK1113" s="609"/>
      <c r="AL1113" s="609"/>
      <c r="AM1113" s="609"/>
      <c r="AN1113" s="609"/>
      <c r="AO1113" s="609"/>
      <c r="AP1113" s="609"/>
      <c r="AQ1113" s="609"/>
      <c r="AR1113" s="609"/>
      <c r="AS1113" s="609"/>
      <c r="AT1113" s="609"/>
      <c r="AU1113" s="609"/>
      <c r="AV1113" s="609"/>
      <c r="AW1113" s="609"/>
      <c r="AX1113" s="609"/>
      <c r="AY1113" s="609"/>
      <c r="AZ1113" s="609"/>
      <c r="BA1113" s="609"/>
      <c r="BB1113" s="609"/>
      <c r="BC1113" s="609"/>
      <c r="BD1113" s="609"/>
      <c r="BE1113" s="609"/>
      <c r="BF1113" s="609"/>
      <c r="BG1113" s="609"/>
      <c r="BH1113" s="609"/>
      <c r="BI1113" s="609"/>
      <c r="BJ1113" s="609"/>
      <c r="BK1113" s="609"/>
      <c r="BL1113" s="609"/>
      <c r="BM1113" s="609"/>
      <c r="BN1113" s="609"/>
      <c r="BO1113" s="609"/>
      <c r="BP1113" s="609"/>
      <c r="BQ1113" s="609"/>
      <c r="BR1113" s="609"/>
      <c r="BS1113" s="609"/>
      <c r="BT1113" s="609"/>
      <c r="BU1113" s="609"/>
      <c r="BV1113" s="609"/>
      <c r="BW1113" s="609"/>
      <c r="BX1113" s="609"/>
      <c r="BY1113" s="609"/>
      <c r="BZ1113" s="609"/>
      <c r="CA1113" s="609"/>
      <c r="CB1113" s="609"/>
      <c r="CC1113" s="609"/>
      <c r="CD1113" s="609"/>
      <c r="CE1113" s="609"/>
      <c r="CF1113" s="609"/>
      <c r="CG1113" s="609"/>
      <c r="CH1113" s="609"/>
      <c r="CI1113" s="609"/>
      <c r="CJ1113" s="609"/>
      <c r="CK1113" s="609"/>
      <c r="CL1113" s="609"/>
      <c r="CM1113" s="609"/>
      <c r="CN1113" s="609"/>
      <c r="CO1113" s="609"/>
      <c r="CP1113" s="609"/>
      <c r="CQ1113" s="609"/>
      <c r="CR1113" s="609"/>
      <c r="CS1113" s="609"/>
      <c r="CT1113" s="609"/>
      <c r="CU1113" s="609"/>
      <c r="CV1113" s="609"/>
      <c r="CW1113" s="609"/>
      <c r="CX1113" s="609"/>
      <c r="CY1113" s="609"/>
      <c r="CZ1113" s="609"/>
      <c r="DA1113" s="609"/>
      <c r="DB1113" s="609"/>
      <c r="DC1113" s="609"/>
      <c r="DD1113" s="609"/>
      <c r="DE1113" s="609"/>
      <c r="DF1113" s="609"/>
      <c r="DG1113" s="609"/>
      <c r="DH1113" s="609"/>
      <c r="DI1113" s="609"/>
      <c r="DJ1113" s="609"/>
      <c r="DK1113" s="609"/>
      <c r="DL1113" s="609"/>
      <c r="DM1113" s="609"/>
      <c r="DN1113" s="609"/>
      <c r="DO1113" s="609"/>
      <c r="DP1113" s="609"/>
      <c r="DQ1113" s="609"/>
      <c r="DR1113" s="609"/>
      <c r="DS1113" s="609"/>
      <c r="DT1113" s="609"/>
      <c r="DU1113" s="609"/>
      <c r="DV1113" s="609"/>
      <c r="DW1113" s="609"/>
      <c r="DX1113" s="609"/>
      <c r="DY1113" s="609"/>
      <c r="DZ1113" s="609"/>
      <c r="EA1113" s="609"/>
      <c r="EB1113" s="609"/>
      <c r="EC1113" s="609"/>
      <c r="ED1113" s="609"/>
      <c r="EE1113" s="609"/>
      <c r="EF1113" s="609"/>
      <c r="EG1113" s="609"/>
      <c r="EH1113" s="609"/>
      <c r="EI1113" s="609"/>
      <c r="EJ1113" s="609"/>
      <c r="EK1113" s="609"/>
      <c r="EL1113" s="609"/>
      <c r="EM1113" s="609"/>
      <c r="EN1113" s="609"/>
      <c r="EO1113" s="609"/>
      <c r="EP1113" s="609"/>
      <c r="EQ1113" s="609"/>
      <c r="ER1113" s="609"/>
      <c r="ES1113" s="609"/>
      <c r="ET1113" s="609"/>
      <c r="EU1113" s="609"/>
      <c r="EV1113" s="609"/>
      <c r="EW1113" s="609"/>
      <c r="EX1113" s="609"/>
      <c r="EY1113" s="609"/>
      <c r="EZ1113" s="609"/>
      <c r="FA1113" s="609"/>
      <c r="FB1113" s="609"/>
      <c r="FC1113" s="609"/>
      <c r="FD1113" s="609"/>
      <c r="FE1113" s="609"/>
      <c r="FF1113" s="609"/>
      <c r="FG1113" s="609"/>
      <c r="FH1113" s="609"/>
      <c r="FI1113" s="609"/>
      <c r="FJ1113" s="609"/>
      <c r="FK1113" s="609"/>
      <c r="FL1113" s="609"/>
      <c r="FM1113" s="609"/>
      <c r="FN1113" s="609"/>
      <c r="FO1113" s="609"/>
      <c r="FP1113" s="609"/>
      <c r="FQ1113" s="609"/>
      <c r="FR1113" s="609"/>
      <c r="FS1113" s="609"/>
      <c r="FT1113" s="609"/>
      <c r="FU1113" s="609"/>
      <c r="FV1113" s="609"/>
      <c r="FW1113" s="609"/>
      <c r="FX1113" s="609"/>
      <c r="FY1113" s="609"/>
      <c r="FZ1113" s="609"/>
      <c r="GA1113" s="609"/>
      <c r="GB1113" s="609"/>
      <c r="GC1113" s="609"/>
      <c r="GD1113" s="609"/>
      <c r="GE1113" s="609"/>
      <c r="GF1113" s="609"/>
      <c r="GG1113" s="609"/>
      <c r="GH1113" s="609"/>
      <c r="GI1113" s="609"/>
      <c r="GJ1113" s="609"/>
      <c r="GK1113" s="609"/>
      <c r="GL1113" s="609"/>
      <c r="GM1113" s="609"/>
      <c r="GN1113" s="609"/>
      <c r="GO1113" s="609"/>
      <c r="GP1113" s="609"/>
      <c r="GQ1113" s="609"/>
      <c r="GR1113" s="609"/>
      <c r="GS1113" s="609"/>
      <c r="GT1113" s="609"/>
      <c r="GU1113" s="609"/>
      <c r="GV1113" s="609"/>
      <c r="GW1113" s="609"/>
      <c r="GX1113" s="609"/>
      <c r="GY1113" s="609"/>
      <c r="GZ1113" s="609"/>
      <c r="HA1113" s="609"/>
      <c r="HB1113" s="609"/>
      <c r="HC1113" s="609"/>
      <c r="HD1113" s="609"/>
      <c r="HE1113" s="609"/>
      <c r="HF1113" s="609"/>
      <c r="HG1113" s="609"/>
      <c r="HH1113" s="609"/>
      <c r="HI1113" s="609"/>
      <c r="HJ1113" s="609"/>
      <c r="HK1113" s="609"/>
      <c r="HL1113" s="609"/>
      <c r="HM1113" s="609"/>
      <c r="HN1113" s="609"/>
      <c r="HO1113" s="609"/>
      <c r="HP1113" s="609"/>
      <c r="HQ1113" s="609"/>
      <c r="HR1113" s="609"/>
      <c r="HS1113" s="609"/>
      <c r="HT1113" s="609"/>
      <c r="HU1113" s="609"/>
      <c r="HV1113" s="609"/>
      <c r="HW1113" s="609"/>
      <c r="HX1113" s="609"/>
      <c r="HY1113" s="609"/>
      <c r="HZ1113" s="609"/>
      <c r="IA1113" s="609"/>
      <c r="IB1113" s="609"/>
      <c r="IC1113" s="609"/>
      <c r="ID1113" s="609"/>
      <c r="IE1113" s="609"/>
      <c r="IF1113" s="609"/>
      <c r="IG1113" s="609"/>
      <c r="IH1113" s="609"/>
      <c r="II1113" s="609"/>
      <c r="IJ1113" s="609"/>
      <c r="IK1113" s="609"/>
      <c r="IL1113" s="609"/>
      <c r="IM1113" s="609"/>
      <c r="IN1113" s="609"/>
      <c r="IO1113" s="609"/>
      <c r="IP1113" s="609"/>
      <c r="IQ1113" s="609"/>
      <c r="IR1113" s="609"/>
      <c r="IS1113" s="609"/>
      <c r="IT1113" s="609"/>
      <c r="IU1113" s="609"/>
      <c r="IV1113" s="609"/>
    </row>
    <row r="1114" spans="1:256" s="642" customFormat="1" x14ac:dyDescent="0.25">
      <c r="A1114" s="634" t="s">
        <v>277</v>
      </c>
      <c r="B1114" s="634">
        <v>2439</v>
      </c>
      <c r="C1114" s="636"/>
      <c r="D1114" s="612" t="s">
        <v>1707</v>
      </c>
      <c r="E1114" s="636" t="s">
        <v>229</v>
      </c>
      <c r="F1114" s="612">
        <v>1</v>
      </c>
      <c r="G1114" s="681">
        <v>16.2</v>
      </c>
      <c r="H1114" s="612"/>
      <c r="I1114" s="695"/>
      <c r="J1114" s="695">
        <f>ROUND(F1114*G1114,2)</f>
        <v>16.2</v>
      </c>
      <c r="K1114" s="695"/>
      <c r="L1114" s="695"/>
      <c r="M1114" s="695"/>
      <c r="N1114" s="695"/>
      <c r="O1114" s="695"/>
      <c r="P1114" s="695"/>
      <c r="Q1114" s="609"/>
      <c r="R1114" s="609"/>
      <c r="S1114" s="609"/>
      <c r="T1114" s="609"/>
      <c r="U1114" s="609"/>
      <c r="V1114" s="609"/>
      <c r="W1114" s="609"/>
      <c r="X1114" s="609"/>
      <c r="Y1114" s="609"/>
      <c r="Z1114" s="609"/>
      <c r="AA1114" s="609"/>
      <c r="AB1114" s="609"/>
      <c r="AC1114" s="609"/>
      <c r="AD1114" s="609"/>
      <c r="AE1114" s="609"/>
      <c r="AF1114" s="609"/>
      <c r="AG1114" s="609"/>
      <c r="AH1114" s="609"/>
      <c r="AI1114" s="609"/>
      <c r="AJ1114" s="609"/>
      <c r="AK1114" s="609"/>
      <c r="AL1114" s="609"/>
      <c r="AM1114" s="609"/>
      <c r="AN1114" s="609"/>
      <c r="AO1114" s="609"/>
      <c r="AP1114" s="609"/>
      <c r="AQ1114" s="609"/>
      <c r="AR1114" s="609"/>
      <c r="AS1114" s="609"/>
      <c r="AT1114" s="609"/>
      <c r="AU1114" s="609"/>
      <c r="AV1114" s="609"/>
      <c r="AW1114" s="609"/>
      <c r="AX1114" s="609"/>
      <c r="AY1114" s="609"/>
      <c r="AZ1114" s="609"/>
      <c r="BA1114" s="609"/>
      <c r="BB1114" s="609"/>
      <c r="BC1114" s="609"/>
      <c r="BD1114" s="609"/>
      <c r="BE1114" s="609"/>
      <c r="BF1114" s="609"/>
      <c r="BG1114" s="609"/>
      <c r="BH1114" s="609"/>
      <c r="BI1114" s="609"/>
      <c r="BJ1114" s="609"/>
      <c r="BK1114" s="609"/>
      <c r="BL1114" s="609"/>
      <c r="BM1114" s="609"/>
      <c r="BN1114" s="609"/>
      <c r="BO1114" s="609"/>
      <c r="BP1114" s="609"/>
      <c r="BQ1114" s="609"/>
      <c r="BR1114" s="609"/>
      <c r="BS1114" s="609"/>
      <c r="BT1114" s="609"/>
      <c r="BU1114" s="609"/>
      <c r="BV1114" s="609"/>
      <c r="BW1114" s="609"/>
      <c r="BX1114" s="609"/>
      <c r="BY1114" s="609"/>
      <c r="BZ1114" s="609"/>
      <c r="CA1114" s="609"/>
      <c r="CB1114" s="609"/>
      <c r="CC1114" s="609"/>
      <c r="CD1114" s="609"/>
      <c r="CE1114" s="609"/>
      <c r="CF1114" s="609"/>
      <c r="CG1114" s="609"/>
      <c r="CH1114" s="609"/>
      <c r="CI1114" s="609"/>
      <c r="CJ1114" s="609"/>
      <c r="CK1114" s="609"/>
      <c r="CL1114" s="609"/>
      <c r="CM1114" s="609"/>
      <c r="CN1114" s="609"/>
      <c r="CO1114" s="609"/>
      <c r="CP1114" s="609"/>
      <c r="CQ1114" s="609"/>
      <c r="CR1114" s="609"/>
      <c r="CS1114" s="609"/>
      <c r="CT1114" s="609"/>
      <c r="CU1114" s="609"/>
      <c r="CV1114" s="609"/>
      <c r="CW1114" s="609"/>
      <c r="CX1114" s="609"/>
      <c r="CY1114" s="609"/>
      <c r="CZ1114" s="609"/>
      <c r="DA1114" s="609"/>
      <c r="DB1114" s="609"/>
      <c r="DC1114" s="609"/>
      <c r="DD1114" s="609"/>
      <c r="DE1114" s="609"/>
      <c r="DF1114" s="609"/>
      <c r="DG1114" s="609"/>
      <c r="DH1114" s="609"/>
      <c r="DI1114" s="609"/>
      <c r="DJ1114" s="609"/>
      <c r="DK1114" s="609"/>
      <c r="DL1114" s="609"/>
      <c r="DM1114" s="609"/>
      <c r="DN1114" s="609"/>
      <c r="DO1114" s="609"/>
      <c r="DP1114" s="609"/>
      <c r="DQ1114" s="609"/>
      <c r="DR1114" s="609"/>
      <c r="DS1114" s="609"/>
      <c r="DT1114" s="609"/>
      <c r="DU1114" s="609"/>
      <c r="DV1114" s="609"/>
      <c r="DW1114" s="609"/>
      <c r="DX1114" s="609"/>
      <c r="DY1114" s="609"/>
      <c r="DZ1114" s="609"/>
      <c r="EA1114" s="609"/>
      <c r="EB1114" s="609"/>
      <c r="EC1114" s="609"/>
      <c r="ED1114" s="609"/>
      <c r="EE1114" s="609"/>
      <c r="EF1114" s="609"/>
      <c r="EG1114" s="609"/>
      <c r="EH1114" s="609"/>
      <c r="EI1114" s="609"/>
      <c r="EJ1114" s="609"/>
      <c r="EK1114" s="609"/>
      <c r="EL1114" s="609"/>
      <c r="EM1114" s="609"/>
      <c r="EN1114" s="609"/>
      <c r="EO1114" s="609"/>
      <c r="EP1114" s="609"/>
      <c r="EQ1114" s="609"/>
      <c r="ER1114" s="609"/>
      <c r="ES1114" s="609"/>
      <c r="ET1114" s="609"/>
      <c r="EU1114" s="609"/>
      <c r="EV1114" s="609"/>
      <c r="EW1114" s="609"/>
      <c r="EX1114" s="609"/>
      <c r="EY1114" s="609"/>
      <c r="EZ1114" s="609"/>
      <c r="FA1114" s="609"/>
      <c r="FB1114" s="609"/>
      <c r="FC1114" s="609"/>
      <c r="FD1114" s="609"/>
      <c r="FE1114" s="609"/>
      <c r="FF1114" s="609"/>
      <c r="FG1114" s="609"/>
      <c r="FH1114" s="609"/>
      <c r="FI1114" s="609"/>
      <c r="FJ1114" s="609"/>
      <c r="FK1114" s="609"/>
      <c r="FL1114" s="609"/>
      <c r="FM1114" s="609"/>
      <c r="FN1114" s="609"/>
      <c r="FO1114" s="609"/>
      <c r="FP1114" s="609"/>
      <c r="FQ1114" s="609"/>
      <c r="FR1114" s="609"/>
      <c r="FS1114" s="609"/>
      <c r="FT1114" s="609"/>
      <c r="FU1114" s="609"/>
      <c r="FV1114" s="609"/>
      <c r="FW1114" s="609"/>
      <c r="FX1114" s="609"/>
      <c r="FY1114" s="609"/>
      <c r="FZ1114" s="609"/>
      <c r="GA1114" s="609"/>
      <c r="GB1114" s="609"/>
      <c r="GC1114" s="609"/>
      <c r="GD1114" s="609"/>
      <c r="GE1114" s="609"/>
      <c r="GF1114" s="609"/>
      <c r="GG1114" s="609"/>
      <c r="GH1114" s="609"/>
      <c r="GI1114" s="609"/>
      <c r="GJ1114" s="609"/>
      <c r="GK1114" s="609"/>
      <c r="GL1114" s="609"/>
      <c r="GM1114" s="609"/>
      <c r="GN1114" s="609"/>
      <c r="GO1114" s="609"/>
      <c r="GP1114" s="609"/>
      <c r="GQ1114" s="609"/>
      <c r="GR1114" s="609"/>
      <c r="GS1114" s="609"/>
      <c r="GT1114" s="609"/>
      <c r="GU1114" s="609"/>
      <c r="GV1114" s="609"/>
      <c r="GW1114" s="609"/>
      <c r="GX1114" s="609"/>
      <c r="GY1114" s="609"/>
      <c r="GZ1114" s="609"/>
      <c r="HA1114" s="609"/>
      <c r="HB1114" s="609"/>
      <c r="HC1114" s="609"/>
      <c r="HD1114" s="609"/>
      <c r="HE1114" s="609"/>
      <c r="HF1114" s="609"/>
      <c r="HG1114" s="609"/>
      <c r="HH1114" s="609"/>
      <c r="HI1114" s="609"/>
      <c r="HJ1114" s="609"/>
      <c r="HK1114" s="609"/>
      <c r="HL1114" s="609"/>
      <c r="HM1114" s="609"/>
      <c r="HN1114" s="609"/>
      <c r="HO1114" s="609"/>
      <c r="HP1114" s="609"/>
      <c r="HQ1114" s="609"/>
      <c r="HR1114" s="609"/>
      <c r="HS1114" s="609"/>
      <c r="HT1114" s="609"/>
      <c r="HU1114" s="609"/>
      <c r="HV1114" s="609"/>
      <c r="HW1114" s="609"/>
      <c r="HX1114" s="609"/>
      <c r="HY1114" s="609"/>
      <c r="HZ1114" s="609"/>
      <c r="IA1114" s="609"/>
      <c r="IB1114" s="609"/>
      <c r="IC1114" s="609"/>
      <c r="ID1114" s="609"/>
      <c r="IE1114" s="609"/>
      <c r="IF1114" s="609"/>
      <c r="IG1114" s="609"/>
      <c r="IH1114" s="609"/>
      <c r="II1114" s="609"/>
      <c r="IJ1114" s="609"/>
      <c r="IK1114" s="609"/>
      <c r="IL1114" s="609"/>
      <c r="IM1114" s="609"/>
      <c r="IN1114" s="609"/>
      <c r="IO1114" s="609"/>
      <c r="IP1114" s="609"/>
      <c r="IQ1114" s="609"/>
      <c r="IR1114" s="609"/>
      <c r="IS1114" s="609"/>
      <c r="IT1114" s="609"/>
      <c r="IU1114" s="609"/>
      <c r="IV1114" s="609"/>
    </row>
    <row r="1115" spans="1:256" s="642" customFormat="1" x14ac:dyDescent="0.25">
      <c r="A1115" s="634" t="s">
        <v>277</v>
      </c>
      <c r="B1115" s="634">
        <v>247</v>
      </c>
      <c r="C1115" s="636"/>
      <c r="D1115" s="635" t="s">
        <v>1070</v>
      </c>
      <c r="E1115" s="636" t="s">
        <v>229</v>
      </c>
      <c r="F1115" s="612">
        <v>1</v>
      </c>
      <c r="G1115" s="681">
        <v>9.65</v>
      </c>
      <c r="H1115" s="612"/>
      <c r="I1115" s="695"/>
      <c r="J1115" s="695">
        <f>ROUND(F1115*G1115,2)</f>
        <v>9.65</v>
      </c>
      <c r="K1115" s="695"/>
      <c r="L1115" s="695"/>
      <c r="M1115" s="695"/>
      <c r="N1115" s="695"/>
      <c r="O1115" s="695"/>
      <c r="P1115" s="695"/>
      <c r="Q1115" s="609"/>
      <c r="R1115" s="609"/>
      <c r="S1115" s="609"/>
      <c r="T1115" s="609"/>
      <c r="U1115" s="609"/>
      <c r="V1115" s="609"/>
      <c r="W1115" s="609"/>
      <c r="X1115" s="609"/>
      <c r="Y1115" s="609"/>
      <c r="Z1115" s="609"/>
      <c r="AA1115" s="609"/>
      <c r="AB1115" s="609"/>
      <c r="AC1115" s="609"/>
      <c r="AD1115" s="609"/>
      <c r="AE1115" s="609"/>
      <c r="AF1115" s="609"/>
      <c r="AG1115" s="609"/>
      <c r="AH1115" s="609"/>
      <c r="AI1115" s="609"/>
      <c r="AJ1115" s="609"/>
      <c r="AK1115" s="609"/>
      <c r="AL1115" s="609"/>
      <c r="AM1115" s="609"/>
      <c r="AN1115" s="609"/>
      <c r="AO1115" s="609"/>
      <c r="AP1115" s="609"/>
      <c r="AQ1115" s="609"/>
      <c r="AR1115" s="609"/>
      <c r="AS1115" s="609"/>
      <c r="AT1115" s="609"/>
      <c r="AU1115" s="609"/>
      <c r="AV1115" s="609"/>
      <c r="AW1115" s="609"/>
      <c r="AX1115" s="609"/>
      <c r="AY1115" s="609"/>
      <c r="AZ1115" s="609"/>
      <c r="BA1115" s="609"/>
      <c r="BB1115" s="609"/>
      <c r="BC1115" s="609"/>
      <c r="BD1115" s="609"/>
      <c r="BE1115" s="609"/>
      <c r="BF1115" s="609"/>
      <c r="BG1115" s="609"/>
      <c r="BH1115" s="609"/>
      <c r="BI1115" s="609"/>
      <c r="BJ1115" s="609"/>
      <c r="BK1115" s="609"/>
      <c r="BL1115" s="609"/>
      <c r="BM1115" s="609"/>
      <c r="BN1115" s="609"/>
      <c r="BO1115" s="609"/>
      <c r="BP1115" s="609"/>
      <c r="BQ1115" s="609"/>
      <c r="BR1115" s="609"/>
      <c r="BS1115" s="609"/>
      <c r="BT1115" s="609"/>
      <c r="BU1115" s="609"/>
      <c r="BV1115" s="609"/>
      <c r="BW1115" s="609"/>
      <c r="BX1115" s="609"/>
      <c r="BY1115" s="609"/>
      <c r="BZ1115" s="609"/>
      <c r="CA1115" s="609"/>
      <c r="CB1115" s="609"/>
      <c r="CC1115" s="609"/>
      <c r="CD1115" s="609"/>
      <c r="CE1115" s="609"/>
      <c r="CF1115" s="609"/>
      <c r="CG1115" s="609"/>
      <c r="CH1115" s="609"/>
      <c r="CI1115" s="609"/>
      <c r="CJ1115" s="609"/>
      <c r="CK1115" s="609"/>
      <c r="CL1115" s="609"/>
      <c r="CM1115" s="609"/>
      <c r="CN1115" s="609"/>
      <c r="CO1115" s="609"/>
      <c r="CP1115" s="609"/>
      <c r="CQ1115" s="609"/>
      <c r="CR1115" s="609"/>
      <c r="CS1115" s="609"/>
      <c r="CT1115" s="609"/>
      <c r="CU1115" s="609"/>
      <c r="CV1115" s="609"/>
      <c r="CW1115" s="609"/>
      <c r="CX1115" s="609"/>
      <c r="CY1115" s="609"/>
      <c r="CZ1115" s="609"/>
      <c r="DA1115" s="609"/>
      <c r="DB1115" s="609"/>
      <c r="DC1115" s="609"/>
      <c r="DD1115" s="609"/>
      <c r="DE1115" s="609"/>
      <c r="DF1115" s="609"/>
      <c r="DG1115" s="609"/>
      <c r="DH1115" s="609"/>
      <c r="DI1115" s="609"/>
      <c r="DJ1115" s="609"/>
      <c r="DK1115" s="609"/>
      <c r="DL1115" s="609"/>
      <c r="DM1115" s="609"/>
      <c r="DN1115" s="609"/>
      <c r="DO1115" s="609"/>
      <c r="DP1115" s="609"/>
      <c r="DQ1115" s="609"/>
      <c r="DR1115" s="609"/>
      <c r="DS1115" s="609"/>
      <c r="DT1115" s="609"/>
      <c r="DU1115" s="609"/>
      <c r="DV1115" s="609"/>
      <c r="DW1115" s="609"/>
      <c r="DX1115" s="609"/>
      <c r="DY1115" s="609"/>
      <c r="DZ1115" s="609"/>
      <c r="EA1115" s="609"/>
      <c r="EB1115" s="609"/>
      <c r="EC1115" s="609"/>
      <c r="ED1115" s="609"/>
      <c r="EE1115" s="609"/>
      <c r="EF1115" s="609"/>
      <c r="EG1115" s="609"/>
      <c r="EH1115" s="609"/>
      <c r="EI1115" s="609"/>
      <c r="EJ1115" s="609"/>
      <c r="EK1115" s="609"/>
      <c r="EL1115" s="609"/>
      <c r="EM1115" s="609"/>
      <c r="EN1115" s="609"/>
      <c r="EO1115" s="609"/>
      <c r="EP1115" s="609"/>
      <c r="EQ1115" s="609"/>
      <c r="ER1115" s="609"/>
      <c r="ES1115" s="609"/>
      <c r="ET1115" s="609"/>
      <c r="EU1115" s="609"/>
      <c r="EV1115" s="609"/>
      <c r="EW1115" s="609"/>
      <c r="EX1115" s="609"/>
      <c r="EY1115" s="609"/>
      <c r="EZ1115" s="609"/>
      <c r="FA1115" s="609"/>
      <c r="FB1115" s="609"/>
      <c r="FC1115" s="609"/>
      <c r="FD1115" s="609"/>
      <c r="FE1115" s="609"/>
      <c r="FF1115" s="609"/>
      <c r="FG1115" s="609"/>
      <c r="FH1115" s="609"/>
      <c r="FI1115" s="609"/>
      <c r="FJ1115" s="609"/>
      <c r="FK1115" s="609"/>
      <c r="FL1115" s="609"/>
      <c r="FM1115" s="609"/>
      <c r="FN1115" s="609"/>
      <c r="FO1115" s="609"/>
      <c r="FP1115" s="609"/>
      <c r="FQ1115" s="609"/>
      <c r="FR1115" s="609"/>
      <c r="FS1115" s="609"/>
      <c r="FT1115" s="609"/>
      <c r="FU1115" s="609"/>
      <c r="FV1115" s="609"/>
      <c r="FW1115" s="609"/>
      <c r="FX1115" s="609"/>
      <c r="FY1115" s="609"/>
      <c r="FZ1115" s="609"/>
      <c r="GA1115" s="609"/>
      <c r="GB1115" s="609"/>
      <c r="GC1115" s="609"/>
      <c r="GD1115" s="609"/>
      <c r="GE1115" s="609"/>
      <c r="GF1115" s="609"/>
      <c r="GG1115" s="609"/>
      <c r="GH1115" s="609"/>
      <c r="GI1115" s="609"/>
      <c r="GJ1115" s="609"/>
      <c r="GK1115" s="609"/>
      <c r="GL1115" s="609"/>
      <c r="GM1115" s="609"/>
      <c r="GN1115" s="609"/>
      <c r="GO1115" s="609"/>
      <c r="GP1115" s="609"/>
      <c r="GQ1115" s="609"/>
      <c r="GR1115" s="609"/>
      <c r="GS1115" s="609"/>
      <c r="GT1115" s="609"/>
      <c r="GU1115" s="609"/>
      <c r="GV1115" s="609"/>
      <c r="GW1115" s="609"/>
      <c r="GX1115" s="609"/>
      <c r="GY1115" s="609"/>
      <c r="GZ1115" s="609"/>
      <c r="HA1115" s="609"/>
      <c r="HB1115" s="609"/>
      <c r="HC1115" s="609"/>
      <c r="HD1115" s="609"/>
      <c r="HE1115" s="609"/>
      <c r="HF1115" s="609"/>
      <c r="HG1115" s="609"/>
      <c r="HH1115" s="609"/>
      <c r="HI1115" s="609"/>
      <c r="HJ1115" s="609"/>
      <c r="HK1115" s="609"/>
      <c r="HL1115" s="609"/>
      <c r="HM1115" s="609"/>
      <c r="HN1115" s="609"/>
      <c r="HO1115" s="609"/>
      <c r="HP1115" s="609"/>
      <c r="HQ1115" s="609"/>
      <c r="HR1115" s="609"/>
      <c r="HS1115" s="609"/>
      <c r="HT1115" s="609"/>
      <c r="HU1115" s="609"/>
      <c r="HV1115" s="609"/>
      <c r="HW1115" s="609"/>
      <c r="HX1115" s="609"/>
      <c r="HY1115" s="609"/>
      <c r="HZ1115" s="609"/>
      <c r="IA1115" s="609"/>
      <c r="IB1115" s="609"/>
      <c r="IC1115" s="609"/>
      <c r="ID1115" s="609"/>
      <c r="IE1115" s="609"/>
      <c r="IF1115" s="609"/>
      <c r="IG1115" s="609"/>
      <c r="IH1115" s="609"/>
      <c r="II1115" s="609"/>
      <c r="IJ1115" s="609"/>
      <c r="IK1115" s="609"/>
      <c r="IL1115" s="609"/>
      <c r="IM1115" s="609"/>
      <c r="IN1115" s="609"/>
      <c r="IO1115" s="609"/>
      <c r="IP1115" s="609"/>
      <c r="IQ1115" s="609"/>
      <c r="IR1115" s="609"/>
      <c r="IS1115" s="609"/>
      <c r="IT1115" s="609"/>
      <c r="IU1115" s="609"/>
      <c r="IV1115" s="609"/>
    </row>
    <row r="1116" spans="1:256" s="642" customFormat="1" x14ac:dyDescent="0.25">
      <c r="A1116" s="675"/>
      <c r="B1116" s="675"/>
      <c r="C1116" s="675" t="s">
        <v>1804</v>
      </c>
      <c r="D1116" s="620" t="s">
        <v>1805</v>
      </c>
      <c r="E1116" s="675" t="s">
        <v>1806</v>
      </c>
      <c r="F1116" s="620"/>
      <c r="G1116" s="622"/>
      <c r="H1116" s="620">
        <v>20</v>
      </c>
      <c r="I1116" s="677">
        <f>SUM(I1117:I1119)</f>
        <v>12.04</v>
      </c>
      <c r="J1116" s="677">
        <f>SUM(J1117:J1119)</f>
        <v>2.59</v>
      </c>
      <c r="K1116" s="665">
        <f>I1116+J1116</f>
        <v>14.629999999999999</v>
      </c>
      <c r="L1116" s="622">
        <f>H1116*I1116</f>
        <v>240.79999999999998</v>
      </c>
      <c r="M1116" s="622">
        <f>H1116*J1116</f>
        <v>51.8</v>
      </c>
      <c r="N1116" s="622">
        <f>L1116+M1116</f>
        <v>292.59999999999997</v>
      </c>
      <c r="O1116" s="622">
        <f>N1116*$P$4</f>
        <v>71.862560000000002</v>
      </c>
      <c r="P1116" s="622">
        <f>N1116+O1116</f>
        <v>364.46255999999994</v>
      </c>
      <c r="Q1116" s="609"/>
      <c r="R1116" s="609"/>
      <c r="S1116" s="609"/>
      <c r="T1116" s="609"/>
      <c r="U1116" s="609"/>
      <c r="V1116" s="609"/>
      <c r="W1116" s="609"/>
      <c r="X1116" s="609"/>
      <c r="Y1116" s="609"/>
      <c r="Z1116" s="609"/>
      <c r="AA1116" s="609"/>
      <c r="AB1116" s="609"/>
      <c r="AC1116" s="609"/>
      <c r="AD1116" s="609"/>
      <c r="AE1116" s="609"/>
      <c r="AF1116" s="609"/>
      <c r="AG1116" s="609"/>
      <c r="AH1116" s="609"/>
      <c r="AI1116" s="609"/>
      <c r="AJ1116" s="609"/>
      <c r="AK1116" s="609"/>
      <c r="AL1116" s="609"/>
      <c r="AM1116" s="609"/>
      <c r="AN1116" s="609"/>
      <c r="AO1116" s="609"/>
      <c r="AP1116" s="609"/>
      <c r="AQ1116" s="609"/>
      <c r="AR1116" s="609"/>
      <c r="AS1116" s="609"/>
      <c r="AT1116" s="609"/>
      <c r="AU1116" s="609"/>
      <c r="AV1116" s="609"/>
      <c r="AW1116" s="609"/>
      <c r="AX1116" s="609"/>
      <c r="AY1116" s="609"/>
      <c r="AZ1116" s="609"/>
      <c r="BA1116" s="609"/>
      <c r="BB1116" s="609"/>
      <c r="BC1116" s="609"/>
      <c r="BD1116" s="609"/>
      <c r="BE1116" s="609"/>
      <c r="BF1116" s="609"/>
      <c r="BG1116" s="609"/>
      <c r="BH1116" s="609"/>
      <c r="BI1116" s="609"/>
      <c r="BJ1116" s="609"/>
      <c r="BK1116" s="609"/>
      <c r="BL1116" s="609"/>
      <c r="BM1116" s="609"/>
      <c r="BN1116" s="609"/>
      <c r="BO1116" s="609"/>
      <c r="BP1116" s="609"/>
      <c r="BQ1116" s="609"/>
      <c r="BR1116" s="609"/>
      <c r="BS1116" s="609"/>
      <c r="BT1116" s="609"/>
      <c r="BU1116" s="609"/>
      <c r="BV1116" s="609"/>
      <c r="BW1116" s="609"/>
      <c r="BX1116" s="609"/>
      <c r="BY1116" s="609"/>
      <c r="BZ1116" s="609"/>
      <c r="CA1116" s="609"/>
      <c r="CB1116" s="609"/>
      <c r="CC1116" s="609"/>
      <c r="CD1116" s="609"/>
      <c r="CE1116" s="609"/>
      <c r="CF1116" s="609"/>
      <c r="CG1116" s="609"/>
      <c r="CH1116" s="609"/>
      <c r="CI1116" s="609"/>
      <c r="CJ1116" s="609"/>
      <c r="CK1116" s="609"/>
      <c r="CL1116" s="609"/>
      <c r="CM1116" s="609"/>
      <c r="CN1116" s="609"/>
      <c r="CO1116" s="609"/>
      <c r="CP1116" s="609"/>
      <c r="CQ1116" s="609"/>
      <c r="CR1116" s="609"/>
      <c r="CS1116" s="609"/>
      <c r="CT1116" s="609"/>
      <c r="CU1116" s="609"/>
      <c r="CV1116" s="609"/>
      <c r="CW1116" s="609"/>
      <c r="CX1116" s="609"/>
      <c r="CY1116" s="609"/>
      <c r="CZ1116" s="609"/>
      <c r="DA1116" s="609"/>
      <c r="DB1116" s="609"/>
      <c r="DC1116" s="609"/>
      <c r="DD1116" s="609"/>
      <c r="DE1116" s="609"/>
      <c r="DF1116" s="609"/>
      <c r="DG1116" s="609"/>
      <c r="DH1116" s="609"/>
      <c r="DI1116" s="609"/>
      <c r="DJ1116" s="609"/>
      <c r="DK1116" s="609"/>
      <c r="DL1116" s="609"/>
      <c r="DM1116" s="609"/>
      <c r="DN1116" s="609"/>
      <c r="DO1116" s="609"/>
      <c r="DP1116" s="609"/>
      <c r="DQ1116" s="609"/>
      <c r="DR1116" s="609"/>
      <c r="DS1116" s="609"/>
      <c r="DT1116" s="609"/>
      <c r="DU1116" s="609"/>
      <c r="DV1116" s="609"/>
      <c r="DW1116" s="609"/>
      <c r="DX1116" s="609"/>
      <c r="DY1116" s="609"/>
      <c r="DZ1116" s="609"/>
      <c r="EA1116" s="609"/>
      <c r="EB1116" s="609"/>
      <c r="EC1116" s="609"/>
      <c r="ED1116" s="609"/>
      <c r="EE1116" s="609"/>
      <c r="EF1116" s="609"/>
      <c r="EG1116" s="609"/>
      <c r="EH1116" s="609"/>
      <c r="EI1116" s="609"/>
      <c r="EJ1116" s="609"/>
      <c r="EK1116" s="609"/>
      <c r="EL1116" s="609"/>
      <c r="EM1116" s="609"/>
      <c r="EN1116" s="609"/>
      <c r="EO1116" s="609"/>
      <c r="EP1116" s="609"/>
      <c r="EQ1116" s="609"/>
      <c r="ER1116" s="609"/>
      <c r="ES1116" s="609"/>
      <c r="ET1116" s="609"/>
      <c r="EU1116" s="609"/>
      <c r="EV1116" s="609"/>
      <c r="EW1116" s="609"/>
      <c r="EX1116" s="609"/>
      <c r="EY1116" s="609"/>
      <c r="EZ1116" s="609"/>
      <c r="FA1116" s="609"/>
      <c r="FB1116" s="609"/>
      <c r="FC1116" s="609"/>
      <c r="FD1116" s="609"/>
      <c r="FE1116" s="609"/>
      <c r="FF1116" s="609"/>
      <c r="FG1116" s="609"/>
      <c r="FH1116" s="609"/>
      <c r="FI1116" s="609"/>
      <c r="FJ1116" s="609"/>
      <c r="FK1116" s="609"/>
      <c r="FL1116" s="609"/>
      <c r="FM1116" s="609"/>
      <c r="FN1116" s="609"/>
      <c r="FO1116" s="609"/>
      <c r="FP1116" s="609"/>
      <c r="FQ1116" s="609"/>
      <c r="FR1116" s="609"/>
      <c r="FS1116" s="609"/>
      <c r="FT1116" s="609"/>
      <c r="FU1116" s="609"/>
      <c r="FV1116" s="609"/>
      <c r="FW1116" s="609"/>
      <c r="FX1116" s="609"/>
      <c r="FY1116" s="609"/>
      <c r="FZ1116" s="609"/>
      <c r="GA1116" s="609"/>
      <c r="GB1116" s="609"/>
      <c r="GC1116" s="609"/>
      <c r="GD1116" s="609"/>
      <c r="GE1116" s="609"/>
      <c r="GF1116" s="609"/>
      <c r="GG1116" s="609"/>
      <c r="GH1116" s="609"/>
      <c r="GI1116" s="609"/>
      <c r="GJ1116" s="609"/>
      <c r="GK1116" s="609"/>
      <c r="GL1116" s="609"/>
      <c r="GM1116" s="609"/>
      <c r="GN1116" s="609"/>
      <c r="GO1116" s="609"/>
      <c r="GP1116" s="609"/>
      <c r="GQ1116" s="609"/>
      <c r="GR1116" s="609"/>
      <c r="GS1116" s="609"/>
      <c r="GT1116" s="609"/>
      <c r="GU1116" s="609"/>
      <c r="GV1116" s="609"/>
      <c r="GW1116" s="609"/>
      <c r="GX1116" s="609"/>
      <c r="GY1116" s="609"/>
      <c r="GZ1116" s="609"/>
      <c r="HA1116" s="609"/>
      <c r="HB1116" s="609"/>
      <c r="HC1116" s="609"/>
      <c r="HD1116" s="609"/>
      <c r="HE1116" s="609"/>
      <c r="HF1116" s="609"/>
      <c r="HG1116" s="609"/>
      <c r="HH1116" s="609"/>
      <c r="HI1116" s="609"/>
      <c r="HJ1116" s="609"/>
      <c r="HK1116" s="609"/>
      <c r="HL1116" s="609"/>
      <c r="HM1116" s="609"/>
      <c r="HN1116" s="609"/>
      <c r="HO1116" s="609"/>
      <c r="HP1116" s="609"/>
      <c r="HQ1116" s="609"/>
      <c r="HR1116" s="609"/>
      <c r="HS1116" s="609"/>
      <c r="HT1116" s="609"/>
      <c r="HU1116" s="609"/>
      <c r="HV1116" s="609"/>
      <c r="HW1116" s="609"/>
      <c r="HX1116" s="609"/>
      <c r="HY1116" s="609"/>
      <c r="HZ1116" s="609"/>
      <c r="IA1116" s="609"/>
      <c r="IB1116" s="609"/>
      <c r="IC1116" s="609"/>
      <c r="ID1116" s="609"/>
      <c r="IE1116" s="609"/>
      <c r="IF1116" s="609"/>
      <c r="IG1116" s="609"/>
      <c r="IH1116" s="609"/>
      <c r="II1116" s="609"/>
      <c r="IJ1116" s="609"/>
      <c r="IK1116" s="609"/>
      <c r="IL1116" s="609"/>
      <c r="IM1116" s="609"/>
      <c r="IN1116" s="609"/>
      <c r="IO1116" s="609"/>
      <c r="IP1116" s="609"/>
      <c r="IQ1116" s="609"/>
      <c r="IR1116" s="609"/>
      <c r="IS1116" s="609"/>
      <c r="IT1116" s="609"/>
      <c r="IU1116" s="609"/>
      <c r="IV1116" s="609"/>
    </row>
    <row r="1117" spans="1:256" s="642" customFormat="1" ht="13.5" customHeight="1" x14ac:dyDescent="0.25">
      <c r="A1117" s="634" t="s">
        <v>1705</v>
      </c>
      <c r="B1117" s="679"/>
      <c r="C1117" s="636"/>
      <c r="D1117" s="726" t="s">
        <v>1805</v>
      </c>
      <c r="E1117" s="636" t="s">
        <v>1806</v>
      </c>
      <c r="F1117" s="612">
        <v>1</v>
      </c>
      <c r="G1117" s="681">
        <v>12.04</v>
      </c>
      <c r="H1117" s="612"/>
      <c r="I1117" s="695">
        <f>ROUND(F1117*G1117,2)</f>
        <v>12.04</v>
      </c>
      <c r="J1117" s="695" t="s">
        <v>1207</v>
      </c>
      <c r="K1117" s="695"/>
      <c r="L1117" s="695"/>
      <c r="M1117" s="695"/>
      <c r="N1117" s="695"/>
      <c r="O1117" s="695"/>
      <c r="P1117" s="695"/>
      <c r="Q1117" s="609"/>
      <c r="R1117" s="609"/>
      <c r="S1117" s="609"/>
      <c r="T1117" s="609"/>
      <c r="U1117" s="609"/>
      <c r="V1117" s="609"/>
      <c r="W1117" s="609"/>
      <c r="X1117" s="609"/>
      <c r="Y1117" s="609"/>
      <c r="Z1117" s="609"/>
      <c r="AA1117" s="609"/>
      <c r="AB1117" s="609"/>
      <c r="AC1117" s="609"/>
      <c r="AD1117" s="609"/>
      <c r="AE1117" s="609"/>
      <c r="AF1117" s="609"/>
      <c r="AG1117" s="609"/>
      <c r="AH1117" s="609"/>
      <c r="AI1117" s="609"/>
      <c r="AJ1117" s="609"/>
      <c r="AK1117" s="609"/>
      <c r="AL1117" s="609"/>
      <c r="AM1117" s="609"/>
      <c r="AN1117" s="609"/>
      <c r="AO1117" s="609"/>
      <c r="AP1117" s="609"/>
      <c r="AQ1117" s="609"/>
      <c r="AR1117" s="609"/>
      <c r="AS1117" s="609"/>
      <c r="AT1117" s="609"/>
      <c r="AU1117" s="609"/>
      <c r="AV1117" s="609"/>
      <c r="AW1117" s="609"/>
      <c r="AX1117" s="609"/>
      <c r="AY1117" s="609"/>
      <c r="AZ1117" s="609"/>
      <c r="BA1117" s="609"/>
      <c r="BB1117" s="609"/>
      <c r="BC1117" s="609"/>
      <c r="BD1117" s="609"/>
      <c r="BE1117" s="609"/>
      <c r="BF1117" s="609"/>
      <c r="BG1117" s="609"/>
      <c r="BH1117" s="609"/>
      <c r="BI1117" s="609"/>
      <c r="BJ1117" s="609"/>
      <c r="BK1117" s="609"/>
      <c r="BL1117" s="609"/>
      <c r="BM1117" s="609"/>
      <c r="BN1117" s="609"/>
      <c r="BO1117" s="609"/>
      <c r="BP1117" s="609"/>
      <c r="BQ1117" s="609"/>
      <c r="BR1117" s="609"/>
      <c r="BS1117" s="609"/>
      <c r="BT1117" s="609"/>
      <c r="BU1117" s="609"/>
      <c r="BV1117" s="609"/>
      <c r="BW1117" s="609"/>
      <c r="BX1117" s="609"/>
      <c r="BY1117" s="609"/>
      <c r="BZ1117" s="609"/>
      <c r="CA1117" s="609"/>
      <c r="CB1117" s="609"/>
      <c r="CC1117" s="609"/>
      <c r="CD1117" s="609"/>
      <c r="CE1117" s="609"/>
      <c r="CF1117" s="609"/>
      <c r="CG1117" s="609"/>
      <c r="CH1117" s="609"/>
      <c r="CI1117" s="609"/>
      <c r="CJ1117" s="609"/>
      <c r="CK1117" s="609"/>
      <c r="CL1117" s="609"/>
      <c r="CM1117" s="609"/>
      <c r="CN1117" s="609"/>
      <c r="CO1117" s="609"/>
      <c r="CP1117" s="609"/>
      <c r="CQ1117" s="609"/>
      <c r="CR1117" s="609"/>
      <c r="CS1117" s="609"/>
      <c r="CT1117" s="609"/>
      <c r="CU1117" s="609"/>
      <c r="CV1117" s="609"/>
      <c r="CW1117" s="609"/>
      <c r="CX1117" s="609"/>
      <c r="CY1117" s="609"/>
      <c r="CZ1117" s="609"/>
      <c r="DA1117" s="609"/>
      <c r="DB1117" s="609"/>
      <c r="DC1117" s="609"/>
      <c r="DD1117" s="609"/>
      <c r="DE1117" s="609"/>
      <c r="DF1117" s="609"/>
      <c r="DG1117" s="609"/>
      <c r="DH1117" s="609"/>
      <c r="DI1117" s="609"/>
      <c r="DJ1117" s="609"/>
      <c r="DK1117" s="609"/>
      <c r="DL1117" s="609"/>
      <c r="DM1117" s="609"/>
      <c r="DN1117" s="609"/>
      <c r="DO1117" s="609"/>
      <c r="DP1117" s="609"/>
      <c r="DQ1117" s="609"/>
      <c r="DR1117" s="609"/>
      <c r="DS1117" s="609"/>
      <c r="DT1117" s="609"/>
      <c r="DU1117" s="609"/>
      <c r="DV1117" s="609"/>
      <c r="DW1117" s="609"/>
      <c r="DX1117" s="609"/>
      <c r="DY1117" s="609"/>
      <c r="DZ1117" s="609"/>
      <c r="EA1117" s="609"/>
      <c r="EB1117" s="609"/>
      <c r="EC1117" s="609"/>
      <c r="ED1117" s="609"/>
      <c r="EE1117" s="609"/>
      <c r="EF1117" s="609"/>
      <c r="EG1117" s="609"/>
      <c r="EH1117" s="609"/>
      <c r="EI1117" s="609"/>
      <c r="EJ1117" s="609"/>
      <c r="EK1117" s="609"/>
      <c r="EL1117" s="609"/>
      <c r="EM1117" s="609"/>
      <c r="EN1117" s="609"/>
      <c r="EO1117" s="609"/>
      <c r="EP1117" s="609"/>
      <c r="EQ1117" s="609"/>
      <c r="ER1117" s="609"/>
      <c r="ES1117" s="609"/>
      <c r="ET1117" s="609"/>
      <c r="EU1117" s="609"/>
      <c r="EV1117" s="609"/>
      <c r="EW1117" s="609"/>
      <c r="EX1117" s="609"/>
      <c r="EY1117" s="609"/>
      <c r="EZ1117" s="609"/>
      <c r="FA1117" s="609"/>
      <c r="FB1117" s="609"/>
      <c r="FC1117" s="609"/>
      <c r="FD1117" s="609"/>
      <c r="FE1117" s="609"/>
      <c r="FF1117" s="609"/>
      <c r="FG1117" s="609"/>
      <c r="FH1117" s="609"/>
      <c r="FI1117" s="609"/>
      <c r="FJ1117" s="609"/>
      <c r="FK1117" s="609"/>
      <c r="FL1117" s="609"/>
      <c r="FM1117" s="609"/>
      <c r="FN1117" s="609"/>
      <c r="FO1117" s="609"/>
      <c r="FP1117" s="609"/>
      <c r="FQ1117" s="609"/>
      <c r="FR1117" s="609"/>
      <c r="FS1117" s="609"/>
      <c r="FT1117" s="609"/>
      <c r="FU1117" s="609"/>
      <c r="FV1117" s="609"/>
      <c r="FW1117" s="609"/>
      <c r="FX1117" s="609"/>
      <c r="FY1117" s="609"/>
      <c r="FZ1117" s="609"/>
      <c r="GA1117" s="609"/>
      <c r="GB1117" s="609"/>
      <c r="GC1117" s="609"/>
      <c r="GD1117" s="609"/>
      <c r="GE1117" s="609"/>
      <c r="GF1117" s="609"/>
      <c r="GG1117" s="609"/>
      <c r="GH1117" s="609"/>
      <c r="GI1117" s="609"/>
      <c r="GJ1117" s="609"/>
      <c r="GK1117" s="609"/>
      <c r="GL1117" s="609"/>
      <c r="GM1117" s="609"/>
      <c r="GN1117" s="609"/>
      <c r="GO1117" s="609"/>
      <c r="GP1117" s="609"/>
      <c r="GQ1117" s="609"/>
      <c r="GR1117" s="609"/>
      <c r="GS1117" s="609"/>
      <c r="GT1117" s="609"/>
      <c r="GU1117" s="609"/>
      <c r="GV1117" s="609"/>
      <c r="GW1117" s="609"/>
      <c r="GX1117" s="609"/>
      <c r="GY1117" s="609"/>
      <c r="GZ1117" s="609"/>
      <c r="HA1117" s="609"/>
      <c r="HB1117" s="609"/>
      <c r="HC1117" s="609"/>
      <c r="HD1117" s="609"/>
      <c r="HE1117" s="609"/>
      <c r="HF1117" s="609"/>
      <c r="HG1117" s="609"/>
      <c r="HH1117" s="609"/>
      <c r="HI1117" s="609"/>
      <c r="HJ1117" s="609"/>
      <c r="HK1117" s="609"/>
      <c r="HL1117" s="609"/>
      <c r="HM1117" s="609"/>
      <c r="HN1117" s="609"/>
      <c r="HO1117" s="609"/>
      <c r="HP1117" s="609"/>
      <c r="HQ1117" s="609"/>
      <c r="HR1117" s="609"/>
      <c r="HS1117" s="609"/>
      <c r="HT1117" s="609"/>
      <c r="HU1117" s="609"/>
      <c r="HV1117" s="609"/>
      <c r="HW1117" s="609"/>
      <c r="HX1117" s="609"/>
      <c r="HY1117" s="609"/>
      <c r="HZ1117" s="609"/>
      <c r="IA1117" s="609"/>
      <c r="IB1117" s="609"/>
      <c r="IC1117" s="609"/>
      <c r="ID1117" s="609"/>
      <c r="IE1117" s="609"/>
      <c r="IF1117" s="609"/>
      <c r="IG1117" s="609"/>
      <c r="IH1117" s="609"/>
      <c r="II1117" s="609"/>
      <c r="IJ1117" s="609"/>
      <c r="IK1117" s="609"/>
      <c r="IL1117" s="609"/>
      <c r="IM1117" s="609"/>
      <c r="IN1117" s="609"/>
      <c r="IO1117" s="609"/>
      <c r="IP1117" s="609"/>
      <c r="IQ1117" s="609"/>
      <c r="IR1117" s="609"/>
      <c r="IS1117" s="609"/>
      <c r="IT1117" s="609"/>
      <c r="IU1117" s="609"/>
      <c r="IV1117" s="609"/>
    </row>
    <row r="1118" spans="1:256" s="642" customFormat="1" x14ac:dyDescent="0.25">
      <c r="A1118" s="634" t="s">
        <v>277</v>
      </c>
      <c r="B1118" s="634">
        <v>2439</v>
      </c>
      <c r="C1118" s="636"/>
      <c r="D1118" s="612" t="s">
        <v>1707</v>
      </c>
      <c r="E1118" s="636" t="s">
        <v>229</v>
      </c>
      <c r="F1118" s="612">
        <v>0.1</v>
      </c>
      <c r="G1118" s="681">
        <v>16.2</v>
      </c>
      <c r="H1118" s="612"/>
      <c r="I1118" s="695"/>
      <c r="J1118" s="695">
        <f>ROUND(F1118*G1118,2)</f>
        <v>1.62</v>
      </c>
      <c r="K1118" s="695"/>
      <c r="L1118" s="695"/>
      <c r="M1118" s="695"/>
      <c r="N1118" s="695"/>
      <c r="O1118" s="695"/>
      <c r="P1118" s="695"/>
      <c r="Q1118" s="609"/>
      <c r="R1118" s="609"/>
      <c r="S1118" s="609"/>
      <c r="T1118" s="609"/>
      <c r="U1118" s="609"/>
      <c r="V1118" s="609"/>
      <c r="W1118" s="609"/>
      <c r="X1118" s="609"/>
      <c r="Y1118" s="609"/>
      <c r="Z1118" s="609"/>
      <c r="AA1118" s="609"/>
      <c r="AB1118" s="609"/>
      <c r="AC1118" s="609"/>
      <c r="AD1118" s="609"/>
      <c r="AE1118" s="609"/>
      <c r="AF1118" s="609"/>
      <c r="AG1118" s="609"/>
      <c r="AH1118" s="609"/>
      <c r="AI1118" s="609"/>
      <c r="AJ1118" s="609"/>
      <c r="AK1118" s="609"/>
      <c r="AL1118" s="609"/>
      <c r="AM1118" s="609"/>
      <c r="AN1118" s="609"/>
      <c r="AO1118" s="609"/>
      <c r="AP1118" s="609"/>
      <c r="AQ1118" s="609"/>
      <c r="AR1118" s="609"/>
      <c r="AS1118" s="609"/>
      <c r="AT1118" s="609"/>
      <c r="AU1118" s="609"/>
      <c r="AV1118" s="609"/>
      <c r="AW1118" s="609"/>
      <c r="AX1118" s="609"/>
      <c r="AY1118" s="609"/>
      <c r="AZ1118" s="609"/>
      <c r="BA1118" s="609"/>
      <c r="BB1118" s="609"/>
      <c r="BC1118" s="609"/>
      <c r="BD1118" s="609"/>
      <c r="BE1118" s="609"/>
      <c r="BF1118" s="609"/>
      <c r="BG1118" s="609"/>
      <c r="BH1118" s="609"/>
      <c r="BI1118" s="609"/>
      <c r="BJ1118" s="609"/>
      <c r="BK1118" s="609"/>
      <c r="BL1118" s="609"/>
      <c r="BM1118" s="609"/>
      <c r="BN1118" s="609"/>
      <c r="BO1118" s="609"/>
      <c r="BP1118" s="609"/>
      <c r="BQ1118" s="609"/>
      <c r="BR1118" s="609"/>
      <c r="BS1118" s="609"/>
      <c r="BT1118" s="609"/>
      <c r="BU1118" s="609"/>
      <c r="BV1118" s="609"/>
      <c r="BW1118" s="609"/>
      <c r="BX1118" s="609"/>
      <c r="BY1118" s="609"/>
      <c r="BZ1118" s="609"/>
      <c r="CA1118" s="609"/>
      <c r="CB1118" s="609"/>
      <c r="CC1118" s="609"/>
      <c r="CD1118" s="609"/>
      <c r="CE1118" s="609"/>
      <c r="CF1118" s="609"/>
      <c r="CG1118" s="609"/>
      <c r="CH1118" s="609"/>
      <c r="CI1118" s="609"/>
      <c r="CJ1118" s="609"/>
      <c r="CK1118" s="609"/>
      <c r="CL1118" s="609"/>
      <c r="CM1118" s="609"/>
      <c r="CN1118" s="609"/>
      <c r="CO1118" s="609"/>
      <c r="CP1118" s="609"/>
      <c r="CQ1118" s="609"/>
      <c r="CR1118" s="609"/>
      <c r="CS1118" s="609"/>
      <c r="CT1118" s="609"/>
      <c r="CU1118" s="609"/>
      <c r="CV1118" s="609"/>
      <c r="CW1118" s="609"/>
      <c r="CX1118" s="609"/>
      <c r="CY1118" s="609"/>
      <c r="CZ1118" s="609"/>
      <c r="DA1118" s="609"/>
      <c r="DB1118" s="609"/>
      <c r="DC1118" s="609"/>
      <c r="DD1118" s="609"/>
      <c r="DE1118" s="609"/>
      <c r="DF1118" s="609"/>
      <c r="DG1118" s="609"/>
      <c r="DH1118" s="609"/>
      <c r="DI1118" s="609"/>
      <c r="DJ1118" s="609"/>
      <c r="DK1118" s="609"/>
      <c r="DL1118" s="609"/>
      <c r="DM1118" s="609"/>
      <c r="DN1118" s="609"/>
      <c r="DO1118" s="609"/>
      <c r="DP1118" s="609"/>
      <c r="DQ1118" s="609"/>
      <c r="DR1118" s="609"/>
      <c r="DS1118" s="609"/>
      <c r="DT1118" s="609"/>
      <c r="DU1118" s="609"/>
      <c r="DV1118" s="609"/>
      <c r="DW1118" s="609"/>
      <c r="DX1118" s="609"/>
      <c r="DY1118" s="609"/>
      <c r="DZ1118" s="609"/>
      <c r="EA1118" s="609"/>
      <c r="EB1118" s="609"/>
      <c r="EC1118" s="609"/>
      <c r="ED1118" s="609"/>
      <c r="EE1118" s="609"/>
      <c r="EF1118" s="609"/>
      <c r="EG1118" s="609"/>
      <c r="EH1118" s="609"/>
      <c r="EI1118" s="609"/>
      <c r="EJ1118" s="609"/>
      <c r="EK1118" s="609"/>
      <c r="EL1118" s="609"/>
      <c r="EM1118" s="609"/>
      <c r="EN1118" s="609"/>
      <c r="EO1118" s="609"/>
      <c r="EP1118" s="609"/>
      <c r="EQ1118" s="609"/>
      <c r="ER1118" s="609"/>
      <c r="ES1118" s="609"/>
      <c r="ET1118" s="609"/>
      <c r="EU1118" s="609"/>
      <c r="EV1118" s="609"/>
      <c r="EW1118" s="609"/>
      <c r="EX1118" s="609"/>
      <c r="EY1118" s="609"/>
      <c r="EZ1118" s="609"/>
      <c r="FA1118" s="609"/>
      <c r="FB1118" s="609"/>
      <c r="FC1118" s="609"/>
      <c r="FD1118" s="609"/>
      <c r="FE1118" s="609"/>
      <c r="FF1118" s="609"/>
      <c r="FG1118" s="609"/>
      <c r="FH1118" s="609"/>
      <c r="FI1118" s="609"/>
      <c r="FJ1118" s="609"/>
      <c r="FK1118" s="609"/>
      <c r="FL1118" s="609"/>
      <c r="FM1118" s="609"/>
      <c r="FN1118" s="609"/>
      <c r="FO1118" s="609"/>
      <c r="FP1118" s="609"/>
      <c r="FQ1118" s="609"/>
      <c r="FR1118" s="609"/>
      <c r="FS1118" s="609"/>
      <c r="FT1118" s="609"/>
      <c r="FU1118" s="609"/>
      <c r="FV1118" s="609"/>
      <c r="FW1118" s="609"/>
      <c r="FX1118" s="609"/>
      <c r="FY1118" s="609"/>
      <c r="FZ1118" s="609"/>
      <c r="GA1118" s="609"/>
      <c r="GB1118" s="609"/>
      <c r="GC1118" s="609"/>
      <c r="GD1118" s="609"/>
      <c r="GE1118" s="609"/>
      <c r="GF1118" s="609"/>
      <c r="GG1118" s="609"/>
      <c r="GH1118" s="609"/>
      <c r="GI1118" s="609"/>
      <c r="GJ1118" s="609"/>
      <c r="GK1118" s="609"/>
      <c r="GL1118" s="609"/>
      <c r="GM1118" s="609"/>
      <c r="GN1118" s="609"/>
      <c r="GO1118" s="609"/>
      <c r="GP1118" s="609"/>
      <c r="GQ1118" s="609"/>
      <c r="GR1118" s="609"/>
      <c r="GS1118" s="609"/>
      <c r="GT1118" s="609"/>
      <c r="GU1118" s="609"/>
      <c r="GV1118" s="609"/>
      <c r="GW1118" s="609"/>
      <c r="GX1118" s="609"/>
      <c r="GY1118" s="609"/>
      <c r="GZ1118" s="609"/>
      <c r="HA1118" s="609"/>
      <c r="HB1118" s="609"/>
      <c r="HC1118" s="609"/>
      <c r="HD1118" s="609"/>
      <c r="HE1118" s="609"/>
      <c r="HF1118" s="609"/>
      <c r="HG1118" s="609"/>
      <c r="HH1118" s="609"/>
      <c r="HI1118" s="609"/>
      <c r="HJ1118" s="609"/>
      <c r="HK1118" s="609"/>
      <c r="HL1118" s="609"/>
      <c r="HM1118" s="609"/>
      <c r="HN1118" s="609"/>
      <c r="HO1118" s="609"/>
      <c r="HP1118" s="609"/>
      <c r="HQ1118" s="609"/>
      <c r="HR1118" s="609"/>
      <c r="HS1118" s="609"/>
      <c r="HT1118" s="609"/>
      <c r="HU1118" s="609"/>
      <c r="HV1118" s="609"/>
      <c r="HW1118" s="609"/>
      <c r="HX1118" s="609"/>
      <c r="HY1118" s="609"/>
      <c r="HZ1118" s="609"/>
      <c r="IA1118" s="609"/>
      <c r="IB1118" s="609"/>
      <c r="IC1118" s="609"/>
      <c r="ID1118" s="609"/>
      <c r="IE1118" s="609"/>
      <c r="IF1118" s="609"/>
      <c r="IG1118" s="609"/>
      <c r="IH1118" s="609"/>
      <c r="II1118" s="609"/>
      <c r="IJ1118" s="609"/>
      <c r="IK1118" s="609"/>
      <c r="IL1118" s="609"/>
      <c r="IM1118" s="609"/>
      <c r="IN1118" s="609"/>
      <c r="IO1118" s="609"/>
      <c r="IP1118" s="609"/>
      <c r="IQ1118" s="609"/>
      <c r="IR1118" s="609"/>
      <c r="IS1118" s="609"/>
      <c r="IT1118" s="609"/>
      <c r="IU1118" s="609"/>
      <c r="IV1118" s="609"/>
    </row>
    <row r="1119" spans="1:256" s="642" customFormat="1" x14ac:dyDescent="0.25">
      <c r="A1119" s="634" t="s">
        <v>277</v>
      </c>
      <c r="B1119" s="634">
        <v>247</v>
      </c>
      <c r="C1119" s="636"/>
      <c r="D1119" s="635" t="s">
        <v>1070</v>
      </c>
      <c r="E1119" s="636" t="s">
        <v>229</v>
      </c>
      <c r="F1119" s="612">
        <v>0.1</v>
      </c>
      <c r="G1119" s="681">
        <v>9.65</v>
      </c>
      <c r="H1119" s="612"/>
      <c r="I1119" s="695"/>
      <c r="J1119" s="695">
        <f>ROUND(F1119*G1119,2)</f>
        <v>0.97</v>
      </c>
      <c r="K1119" s="695"/>
      <c r="L1119" s="695"/>
      <c r="M1119" s="695"/>
      <c r="N1119" s="695"/>
      <c r="O1119" s="695"/>
      <c r="P1119" s="695"/>
      <c r="Q1119" s="609"/>
      <c r="R1119" s="609"/>
      <c r="S1119" s="609"/>
      <c r="T1119" s="609"/>
      <c r="U1119" s="609"/>
      <c r="V1119" s="609"/>
      <c r="W1119" s="609"/>
      <c r="X1119" s="609"/>
      <c r="Y1119" s="609"/>
      <c r="Z1119" s="609"/>
      <c r="AA1119" s="609"/>
      <c r="AB1119" s="609"/>
      <c r="AC1119" s="609"/>
      <c r="AD1119" s="609"/>
      <c r="AE1119" s="609"/>
      <c r="AF1119" s="609"/>
      <c r="AG1119" s="609"/>
      <c r="AH1119" s="609"/>
      <c r="AI1119" s="609"/>
      <c r="AJ1119" s="609"/>
      <c r="AK1119" s="609"/>
      <c r="AL1119" s="609"/>
      <c r="AM1119" s="609"/>
      <c r="AN1119" s="609"/>
      <c r="AO1119" s="609"/>
      <c r="AP1119" s="609"/>
      <c r="AQ1119" s="609"/>
      <c r="AR1119" s="609"/>
      <c r="AS1119" s="609"/>
      <c r="AT1119" s="609"/>
      <c r="AU1119" s="609"/>
      <c r="AV1119" s="609"/>
      <c r="AW1119" s="609"/>
      <c r="AX1119" s="609"/>
      <c r="AY1119" s="609"/>
      <c r="AZ1119" s="609"/>
      <c r="BA1119" s="609"/>
      <c r="BB1119" s="609"/>
      <c r="BC1119" s="609"/>
      <c r="BD1119" s="609"/>
      <c r="BE1119" s="609"/>
      <c r="BF1119" s="609"/>
      <c r="BG1119" s="609"/>
      <c r="BH1119" s="609"/>
      <c r="BI1119" s="609"/>
      <c r="BJ1119" s="609"/>
      <c r="BK1119" s="609"/>
      <c r="BL1119" s="609"/>
      <c r="BM1119" s="609"/>
      <c r="BN1119" s="609"/>
      <c r="BO1119" s="609"/>
      <c r="BP1119" s="609"/>
      <c r="BQ1119" s="609"/>
      <c r="BR1119" s="609"/>
      <c r="BS1119" s="609"/>
      <c r="BT1119" s="609"/>
      <c r="BU1119" s="609"/>
      <c r="BV1119" s="609"/>
      <c r="BW1119" s="609"/>
      <c r="BX1119" s="609"/>
      <c r="BY1119" s="609"/>
      <c r="BZ1119" s="609"/>
      <c r="CA1119" s="609"/>
      <c r="CB1119" s="609"/>
      <c r="CC1119" s="609"/>
      <c r="CD1119" s="609"/>
      <c r="CE1119" s="609"/>
      <c r="CF1119" s="609"/>
      <c r="CG1119" s="609"/>
      <c r="CH1119" s="609"/>
      <c r="CI1119" s="609"/>
      <c r="CJ1119" s="609"/>
      <c r="CK1119" s="609"/>
      <c r="CL1119" s="609"/>
      <c r="CM1119" s="609"/>
      <c r="CN1119" s="609"/>
      <c r="CO1119" s="609"/>
      <c r="CP1119" s="609"/>
      <c r="CQ1119" s="609"/>
      <c r="CR1119" s="609"/>
      <c r="CS1119" s="609"/>
      <c r="CT1119" s="609"/>
      <c r="CU1119" s="609"/>
      <c r="CV1119" s="609"/>
      <c r="CW1119" s="609"/>
      <c r="CX1119" s="609"/>
      <c r="CY1119" s="609"/>
      <c r="CZ1119" s="609"/>
      <c r="DA1119" s="609"/>
      <c r="DB1119" s="609"/>
      <c r="DC1119" s="609"/>
      <c r="DD1119" s="609"/>
      <c r="DE1119" s="609"/>
      <c r="DF1119" s="609"/>
      <c r="DG1119" s="609"/>
      <c r="DH1119" s="609"/>
      <c r="DI1119" s="609"/>
      <c r="DJ1119" s="609"/>
      <c r="DK1119" s="609"/>
      <c r="DL1119" s="609"/>
      <c r="DM1119" s="609"/>
      <c r="DN1119" s="609"/>
      <c r="DO1119" s="609"/>
      <c r="DP1119" s="609"/>
      <c r="DQ1119" s="609"/>
      <c r="DR1119" s="609"/>
      <c r="DS1119" s="609"/>
      <c r="DT1119" s="609"/>
      <c r="DU1119" s="609"/>
      <c r="DV1119" s="609"/>
      <c r="DW1119" s="609"/>
      <c r="DX1119" s="609"/>
      <c r="DY1119" s="609"/>
      <c r="DZ1119" s="609"/>
      <c r="EA1119" s="609"/>
      <c r="EB1119" s="609"/>
      <c r="EC1119" s="609"/>
      <c r="ED1119" s="609"/>
      <c r="EE1119" s="609"/>
      <c r="EF1119" s="609"/>
      <c r="EG1119" s="609"/>
      <c r="EH1119" s="609"/>
      <c r="EI1119" s="609"/>
      <c r="EJ1119" s="609"/>
      <c r="EK1119" s="609"/>
      <c r="EL1119" s="609"/>
      <c r="EM1119" s="609"/>
      <c r="EN1119" s="609"/>
      <c r="EO1119" s="609"/>
      <c r="EP1119" s="609"/>
      <c r="EQ1119" s="609"/>
      <c r="ER1119" s="609"/>
      <c r="ES1119" s="609"/>
      <c r="ET1119" s="609"/>
      <c r="EU1119" s="609"/>
      <c r="EV1119" s="609"/>
      <c r="EW1119" s="609"/>
      <c r="EX1119" s="609"/>
      <c r="EY1119" s="609"/>
      <c r="EZ1119" s="609"/>
      <c r="FA1119" s="609"/>
      <c r="FB1119" s="609"/>
      <c r="FC1119" s="609"/>
      <c r="FD1119" s="609"/>
      <c r="FE1119" s="609"/>
      <c r="FF1119" s="609"/>
      <c r="FG1119" s="609"/>
      <c r="FH1119" s="609"/>
      <c r="FI1119" s="609"/>
      <c r="FJ1119" s="609"/>
      <c r="FK1119" s="609"/>
      <c r="FL1119" s="609"/>
      <c r="FM1119" s="609"/>
      <c r="FN1119" s="609"/>
      <c r="FO1119" s="609"/>
      <c r="FP1119" s="609"/>
      <c r="FQ1119" s="609"/>
      <c r="FR1119" s="609"/>
      <c r="FS1119" s="609"/>
      <c r="FT1119" s="609"/>
      <c r="FU1119" s="609"/>
      <c r="FV1119" s="609"/>
      <c r="FW1119" s="609"/>
      <c r="FX1119" s="609"/>
      <c r="FY1119" s="609"/>
      <c r="FZ1119" s="609"/>
      <c r="GA1119" s="609"/>
      <c r="GB1119" s="609"/>
      <c r="GC1119" s="609"/>
      <c r="GD1119" s="609"/>
      <c r="GE1119" s="609"/>
      <c r="GF1119" s="609"/>
      <c r="GG1119" s="609"/>
      <c r="GH1119" s="609"/>
      <c r="GI1119" s="609"/>
      <c r="GJ1119" s="609"/>
      <c r="GK1119" s="609"/>
      <c r="GL1119" s="609"/>
      <c r="GM1119" s="609"/>
      <c r="GN1119" s="609"/>
      <c r="GO1119" s="609"/>
      <c r="GP1119" s="609"/>
      <c r="GQ1119" s="609"/>
      <c r="GR1119" s="609"/>
      <c r="GS1119" s="609"/>
      <c r="GT1119" s="609"/>
      <c r="GU1119" s="609"/>
      <c r="GV1119" s="609"/>
      <c r="GW1119" s="609"/>
      <c r="GX1119" s="609"/>
      <c r="GY1119" s="609"/>
      <c r="GZ1119" s="609"/>
      <c r="HA1119" s="609"/>
      <c r="HB1119" s="609"/>
      <c r="HC1119" s="609"/>
      <c r="HD1119" s="609"/>
      <c r="HE1119" s="609"/>
      <c r="HF1119" s="609"/>
      <c r="HG1119" s="609"/>
      <c r="HH1119" s="609"/>
      <c r="HI1119" s="609"/>
      <c r="HJ1119" s="609"/>
      <c r="HK1119" s="609"/>
      <c r="HL1119" s="609"/>
      <c r="HM1119" s="609"/>
      <c r="HN1119" s="609"/>
      <c r="HO1119" s="609"/>
      <c r="HP1119" s="609"/>
      <c r="HQ1119" s="609"/>
      <c r="HR1119" s="609"/>
      <c r="HS1119" s="609"/>
      <c r="HT1119" s="609"/>
      <c r="HU1119" s="609"/>
      <c r="HV1119" s="609"/>
      <c r="HW1119" s="609"/>
      <c r="HX1119" s="609"/>
      <c r="HY1119" s="609"/>
      <c r="HZ1119" s="609"/>
      <c r="IA1119" s="609"/>
      <c r="IB1119" s="609"/>
      <c r="IC1119" s="609"/>
      <c r="ID1119" s="609"/>
      <c r="IE1119" s="609"/>
      <c r="IF1119" s="609"/>
      <c r="IG1119" s="609"/>
      <c r="IH1119" s="609"/>
      <c r="II1119" s="609"/>
      <c r="IJ1119" s="609"/>
      <c r="IK1119" s="609"/>
      <c r="IL1119" s="609"/>
      <c r="IM1119" s="609"/>
      <c r="IN1119" s="609"/>
      <c r="IO1119" s="609"/>
      <c r="IP1119" s="609"/>
      <c r="IQ1119" s="609"/>
      <c r="IR1119" s="609"/>
      <c r="IS1119" s="609"/>
      <c r="IT1119" s="609"/>
      <c r="IU1119" s="609"/>
      <c r="IV1119" s="609"/>
    </row>
    <row r="1120" spans="1:256" s="642" customFormat="1" ht="24" x14ac:dyDescent="0.25">
      <c r="A1120" s="675"/>
      <c r="B1120" s="675"/>
      <c r="C1120" s="675" t="s">
        <v>1807</v>
      </c>
      <c r="D1120" s="620" t="s">
        <v>1808</v>
      </c>
      <c r="E1120" s="675" t="s">
        <v>251</v>
      </c>
      <c r="F1120" s="620"/>
      <c r="G1120" s="622"/>
      <c r="H1120" s="620">
        <v>12</v>
      </c>
      <c r="I1120" s="677">
        <f>SUM(I1121:I1123)</f>
        <v>69.349999999999994</v>
      </c>
      <c r="J1120" s="677">
        <f>SUM(J1121:J1123)</f>
        <v>2.59</v>
      </c>
      <c r="K1120" s="665">
        <f>I1120+J1120</f>
        <v>71.94</v>
      </c>
      <c r="L1120" s="622">
        <f>H1120*I1120</f>
        <v>832.19999999999993</v>
      </c>
      <c r="M1120" s="622">
        <f>H1120*J1120</f>
        <v>31.08</v>
      </c>
      <c r="N1120" s="622">
        <f>L1120+M1120</f>
        <v>863.28</v>
      </c>
      <c r="O1120" s="622">
        <f>N1120*$P$4</f>
        <v>212.021568</v>
      </c>
      <c r="P1120" s="622">
        <f>N1120+O1120</f>
        <v>1075.3015679999999</v>
      </c>
      <c r="Q1120" s="609"/>
      <c r="R1120" s="609"/>
      <c r="S1120" s="609"/>
      <c r="T1120" s="609"/>
      <c r="U1120" s="609"/>
      <c r="V1120" s="609"/>
      <c r="W1120" s="609"/>
      <c r="X1120" s="609"/>
      <c r="Y1120" s="609"/>
      <c r="Z1120" s="609"/>
      <c r="AA1120" s="609"/>
      <c r="AB1120" s="609"/>
      <c r="AC1120" s="609"/>
      <c r="AD1120" s="609"/>
      <c r="AE1120" s="609"/>
      <c r="AF1120" s="609"/>
      <c r="AG1120" s="609"/>
      <c r="AH1120" s="609"/>
      <c r="AI1120" s="609"/>
      <c r="AJ1120" s="609"/>
      <c r="AK1120" s="609"/>
      <c r="AL1120" s="609"/>
      <c r="AM1120" s="609"/>
      <c r="AN1120" s="609"/>
      <c r="AO1120" s="609"/>
      <c r="AP1120" s="609"/>
      <c r="AQ1120" s="609"/>
      <c r="AR1120" s="609"/>
      <c r="AS1120" s="609"/>
      <c r="AT1120" s="609"/>
      <c r="AU1120" s="609"/>
      <c r="AV1120" s="609"/>
      <c r="AW1120" s="609"/>
      <c r="AX1120" s="609"/>
      <c r="AY1120" s="609"/>
      <c r="AZ1120" s="609"/>
      <c r="BA1120" s="609"/>
      <c r="BB1120" s="609"/>
      <c r="BC1120" s="609"/>
      <c r="BD1120" s="609"/>
      <c r="BE1120" s="609"/>
      <c r="BF1120" s="609"/>
      <c r="BG1120" s="609"/>
      <c r="BH1120" s="609"/>
      <c r="BI1120" s="609"/>
      <c r="BJ1120" s="609"/>
      <c r="BK1120" s="609"/>
      <c r="BL1120" s="609"/>
      <c r="BM1120" s="609"/>
      <c r="BN1120" s="609"/>
      <c r="BO1120" s="609"/>
      <c r="BP1120" s="609"/>
      <c r="BQ1120" s="609"/>
      <c r="BR1120" s="609"/>
      <c r="BS1120" s="609"/>
      <c r="BT1120" s="609"/>
      <c r="BU1120" s="609"/>
      <c r="BV1120" s="609"/>
      <c r="BW1120" s="609"/>
      <c r="BX1120" s="609"/>
      <c r="BY1120" s="609"/>
      <c r="BZ1120" s="609"/>
      <c r="CA1120" s="609"/>
      <c r="CB1120" s="609"/>
      <c r="CC1120" s="609"/>
      <c r="CD1120" s="609"/>
      <c r="CE1120" s="609"/>
      <c r="CF1120" s="609"/>
      <c r="CG1120" s="609"/>
      <c r="CH1120" s="609"/>
      <c r="CI1120" s="609"/>
      <c r="CJ1120" s="609"/>
      <c r="CK1120" s="609"/>
      <c r="CL1120" s="609"/>
      <c r="CM1120" s="609"/>
      <c r="CN1120" s="609"/>
      <c r="CO1120" s="609"/>
      <c r="CP1120" s="609"/>
      <c r="CQ1120" s="609"/>
      <c r="CR1120" s="609"/>
      <c r="CS1120" s="609"/>
      <c r="CT1120" s="609"/>
      <c r="CU1120" s="609"/>
      <c r="CV1120" s="609"/>
      <c r="CW1120" s="609"/>
      <c r="CX1120" s="609"/>
      <c r="CY1120" s="609"/>
      <c r="CZ1120" s="609"/>
      <c r="DA1120" s="609"/>
      <c r="DB1120" s="609"/>
      <c r="DC1120" s="609"/>
      <c r="DD1120" s="609"/>
      <c r="DE1120" s="609"/>
      <c r="DF1120" s="609"/>
      <c r="DG1120" s="609"/>
      <c r="DH1120" s="609"/>
      <c r="DI1120" s="609"/>
      <c r="DJ1120" s="609"/>
      <c r="DK1120" s="609"/>
      <c r="DL1120" s="609"/>
      <c r="DM1120" s="609"/>
      <c r="DN1120" s="609"/>
      <c r="DO1120" s="609"/>
      <c r="DP1120" s="609"/>
      <c r="DQ1120" s="609"/>
      <c r="DR1120" s="609"/>
      <c r="DS1120" s="609"/>
      <c r="DT1120" s="609"/>
      <c r="DU1120" s="609"/>
      <c r="DV1120" s="609"/>
      <c r="DW1120" s="609"/>
      <c r="DX1120" s="609"/>
      <c r="DY1120" s="609"/>
      <c r="DZ1120" s="609"/>
      <c r="EA1120" s="609"/>
      <c r="EB1120" s="609"/>
      <c r="EC1120" s="609"/>
      <c r="ED1120" s="609"/>
      <c r="EE1120" s="609"/>
      <c r="EF1120" s="609"/>
      <c r="EG1120" s="609"/>
      <c r="EH1120" s="609"/>
      <c r="EI1120" s="609"/>
      <c r="EJ1120" s="609"/>
      <c r="EK1120" s="609"/>
      <c r="EL1120" s="609"/>
      <c r="EM1120" s="609"/>
      <c r="EN1120" s="609"/>
      <c r="EO1120" s="609"/>
      <c r="EP1120" s="609"/>
      <c r="EQ1120" s="609"/>
      <c r="ER1120" s="609"/>
      <c r="ES1120" s="609"/>
      <c r="ET1120" s="609"/>
      <c r="EU1120" s="609"/>
      <c r="EV1120" s="609"/>
      <c r="EW1120" s="609"/>
      <c r="EX1120" s="609"/>
      <c r="EY1120" s="609"/>
      <c r="EZ1120" s="609"/>
      <c r="FA1120" s="609"/>
      <c r="FB1120" s="609"/>
      <c r="FC1120" s="609"/>
      <c r="FD1120" s="609"/>
      <c r="FE1120" s="609"/>
      <c r="FF1120" s="609"/>
      <c r="FG1120" s="609"/>
      <c r="FH1120" s="609"/>
      <c r="FI1120" s="609"/>
      <c r="FJ1120" s="609"/>
      <c r="FK1120" s="609"/>
      <c r="FL1120" s="609"/>
      <c r="FM1120" s="609"/>
      <c r="FN1120" s="609"/>
      <c r="FO1120" s="609"/>
      <c r="FP1120" s="609"/>
      <c r="FQ1120" s="609"/>
      <c r="FR1120" s="609"/>
      <c r="FS1120" s="609"/>
      <c r="FT1120" s="609"/>
      <c r="FU1120" s="609"/>
      <c r="FV1120" s="609"/>
      <c r="FW1120" s="609"/>
      <c r="FX1120" s="609"/>
      <c r="FY1120" s="609"/>
      <c r="FZ1120" s="609"/>
      <c r="GA1120" s="609"/>
      <c r="GB1120" s="609"/>
      <c r="GC1120" s="609"/>
      <c r="GD1120" s="609"/>
      <c r="GE1120" s="609"/>
      <c r="GF1120" s="609"/>
      <c r="GG1120" s="609"/>
      <c r="GH1120" s="609"/>
      <c r="GI1120" s="609"/>
      <c r="GJ1120" s="609"/>
      <c r="GK1120" s="609"/>
      <c r="GL1120" s="609"/>
      <c r="GM1120" s="609"/>
      <c r="GN1120" s="609"/>
      <c r="GO1120" s="609"/>
      <c r="GP1120" s="609"/>
      <c r="GQ1120" s="609"/>
      <c r="GR1120" s="609"/>
      <c r="GS1120" s="609"/>
      <c r="GT1120" s="609"/>
      <c r="GU1120" s="609"/>
      <c r="GV1120" s="609"/>
      <c r="GW1120" s="609"/>
      <c r="GX1120" s="609"/>
      <c r="GY1120" s="609"/>
      <c r="GZ1120" s="609"/>
      <c r="HA1120" s="609"/>
      <c r="HB1120" s="609"/>
      <c r="HC1120" s="609"/>
      <c r="HD1120" s="609"/>
      <c r="HE1120" s="609"/>
      <c r="HF1120" s="609"/>
      <c r="HG1120" s="609"/>
      <c r="HH1120" s="609"/>
      <c r="HI1120" s="609"/>
      <c r="HJ1120" s="609"/>
      <c r="HK1120" s="609"/>
      <c r="HL1120" s="609"/>
      <c r="HM1120" s="609"/>
      <c r="HN1120" s="609"/>
      <c r="HO1120" s="609"/>
      <c r="HP1120" s="609"/>
      <c r="HQ1120" s="609"/>
      <c r="HR1120" s="609"/>
      <c r="HS1120" s="609"/>
      <c r="HT1120" s="609"/>
      <c r="HU1120" s="609"/>
      <c r="HV1120" s="609"/>
      <c r="HW1120" s="609"/>
      <c r="HX1120" s="609"/>
      <c r="HY1120" s="609"/>
      <c r="HZ1120" s="609"/>
      <c r="IA1120" s="609"/>
      <c r="IB1120" s="609"/>
      <c r="IC1120" s="609"/>
      <c r="ID1120" s="609"/>
      <c r="IE1120" s="609"/>
      <c r="IF1120" s="609"/>
      <c r="IG1120" s="609"/>
      <c r="IH1120" s="609"/>
      <c r="II1120" s="609"/>
      <c r="IJ1120" s="609"/>
      <c r="IK1120" s="609"/>
      <c r="IL1120" s="609"/>
      <c r="IM1120" s="609"/>
      <c r="IN1120" s="609"/>
      <c r="IO1120" s="609"/>
      <c r="IP1120" s="609"/>
      <c r="IQ1120" s="609"/>
      <c r="IR1120" s="609"/>
      <c r="IS1120" s="609"/>
      <c r="IT1120" s="609"/>
      <c r="IU1120" s="609"/>
      <c r="IV1120" s="609"/>
    </row>
    <row r="1121" spans="1:256" s="642" customFormat="1" ht="24" x14ac:dyDescent="0.25">
      <c r="A1121" s="634" t="s">
        <v>1705</v>
      </c>
      <c r="B1121" s="679"/>
      <c r="C1121" s="636"/>
      <c r="D1121" s="726" t="s">
        <v>1808</v>
      </c>
      <c r="E1121" s="636" t="s">
        <v>251</v>
      </c>
      <c r="F1121" s="612">
        <v>1</v>
      </c>
      <c r="G1121" s="681">
        <v>69.349999999999994</v>
      </c>
      <c r="H1121" s="612"/>
      <c r="I1121" s="695">
        <f>ROUND(F1121*G1121,2)</f>
        <v>69.349999999999994</v>
      </c>
      <c r="J1121" s="695" t="s">
        <v>1207</v>
      </c>
      <c r="K1121" s="695"/>
      <c r="L1121" s="695"/>
      <c r="M1121" s="695"/>
      <c r="N1121" s="695"/>
      <c r="O1121" s="695"/>
      <c r="P1121" s="695"/>
      <c r="Q1121" s="609"/>
      <c r="R1121" s="609"/>
      <c r="S1121" s="609"/>
      <c r="T1121" s="609"/>
      <c r="U1121" s="609"/>
      <c r="V1121" s="609"/>
      <c r="W1121" s="609"/>
      <c r="X1121" s="609"/>
      <c r="Y1121" s="609"/>
      <c r="Z1121" s="609"/>
      <c r="AA1121" s="609"/>
      <c r="AB1121" s="609"/>
      <c r="AC1121" s="609"/>
      <c r="AD1121" s="609"/>
      <c r="AE1121" s="609"/>
      <c r="AF1121" s="609"/>
      <c r="AG1121" s="609"/>
      <c r="AH1121" s="609"/>
      <c r="AI1121" s="609"/>
      <c r="AJ1121" s="609"/>
      <c r="AK1121" s="609"/>
      <c r="AL1121" s="609"/>
      <c r="AM1121" s="609"/>
      <c r="AN1121" s="609"/>
      <c r="AO1121" s="609"/>
      <c r="AP1121" s="609"/>
      <c r="AQ1121" s="609"/>
      <c r="AR1121" s="609"/>
      <c r="AS1121" s="609"/>
      <c r="AT1121" s="609"/>
      <c r="AU1121" s="609"/>
      <c r="AV1121" s="609"/>
      <c r="AW1121" s="609"/>
      <c r="AX1121" s="609"/>
      <c r="AY1121" s="609"/>
      <c r="AZ1121" s="609"/>
      <c r="BA1121" s="609"/>
      <c r="BB1121" s="609"/>
      <c r="BC1121" s="609"/>
      <c r="BD1121" s="609"/>
      <c r="BE1121" s="609"/>
      <c r="BF1121" s="609"/>
      <c r="BG1121" s="609"/>
      <c r="BH1121" s="609"/>
      <c r="BI1121" s="609"/>
      <c r="BJ1121" s="609"/>
      <c r="BK1121" s="609"/>
      <c r="BL1121" s="609"/>
      <c r="BM1121" s="609"/>
      <c r="BN1121" s="609"/>
      <c r="BO1121" s="609"/>
      <c r="BP1121" s="609"/>
      <c r="BQ1121" s="609"/>
      <c r="BR1121" s="609"/>
      <c r="BS1121" s="609"/>
      <c r="BT1121" s="609"/>
      <c r="BU1121" s="609"/>
      <c r="BV1121" s="609"/>
      <c r="BW1121" s="609"/>
      <c r="BX1121" s="609"/>
      <c r="BY1121" s="609"/>
      <c r="BZ1121" s="609"/>
      <c r="CA1121" s="609"/>
      <c r="CB1121" s="609"/>
      <c r="CC1121" s="609"/>
      <c r="CD1121" s="609"/>
      <c r="CE1121" s="609"/>
      <c r="CF1121" s="609"/>
      <c r="CG1121" s="609"/>
      <c r="CH1121" s="609"/>
      <c r="CI1121" s="609"/>
      <c r="CJ1121" s="609"/>
      <c r="CK1121" s="609"/>
      <c r="CL1121" s="609"/>
      <c r="CM1121" s="609"/>
      <c r="CN1121" s="609"/>
      <c r="CO1121" s="609"/>
      <c r="CP1121" s="609"/>
      <c r="CQ1121" s="609"/>
      <c r="CR1121" s="609"/>
      <c r="CS1121" s="609"/>
      <c r="CT1121" s="609"/>
      <c r="CU1121" s="609"/>
      <c r="CV1121" s="609"/>
      <c r="CW1121" s="609"/>
      <c r="CX1121" s="609"/>
      <c r="CY1121" s="609"/>
      <c r="CZ1121" s="609"/>
      <c r="DA1121" s="609"/>
      <c r="DB1121" s="609"/>
      <c r="DC1121" s="609"/>
      <c r="DD1121" s="609"/>
      <c r="DE1121" s="609"/>
      <c r="DF1121" s="609"/>
      <c r="DG1121" s="609"/>
      <c r="DH1121" s="609"/>
      <c r="DI1121" s="609"/>
      <c r="DJ1121" s="609"/>
      <c r="DK1121" s="609"/>
      <c r="DL1121" s="609"/>
      <c r="DM1121" s="609"/>
      <c r="DN1121" s="609"/>
      <c r="DO1121" s="609"/>
      <c r="DP1121" s="609"/>
      <c r="DQ1121" s="609"/>
      <c r="DR1121" s="609"/>
      <c r="DS1121" s="609"/>
      <c r="DT1121" s="609"/>
      <c r="DU1121" s="609"/>
      <c r="DV1121" s="609"/>
      <c r="DW1121" s="609"/>
      <c r="DX1121" s="609"/>
      <c r="DY1121" s="609"/>
      <c r="DZ1121" s="609"/>
      <c r="EA1121" s="609"/>
      <c r="EB1121" s="609"/>
      <c r="EC1121" s="609"/>
      <c r="ED1121" s="609"/>
      <c r="EE1121" s="609"/>
      <c r="EF1121" s="609"/>
      <c r="EG1121" s="609"/>
      <c r="EH1121" s="609"/>
      <c r="EI1121" s="609"/>
      <c r="EJ1121" s="609"/>
      <c r="EK1121" s="609"/>
      <c r="EL1121" s="609"/>
      <c r="EM1121" s="609"/>
      <c r="EN1121" s="609"/>
      <c r="EO1121" s="609"/>
      <c r="EP1121" s="609"/>
      <c r="EQ1121" s="609"/>
      <c r="ER1121" s="609"/>
      <c r="ES1121" s="609"/>
      <c r="ET1121" s="609"/>
      <c r="EU1121" s="609"/>
      <c r="EV1121" s="609"/>
      <c r="EW1121" s="609"/>
      <c r="EX1121" s="609"/>
      <c r="EY1121" s="609"/>
      <c r="EZ1121" s="609"/>
      <c r="FA1121" s="609"/>
      <c r="FB1121" s="609"/>
      <c r="FC1121" s="609"/>
      <c r="FD1121" s="609"/>
      <c r="FE1121" s="609"/>
      <c r="FF1121" s="609"/>
      <c r="FG1121" s="609"/>
      <c r="FH1121" s="609"/>
      <c r="FI1121" s="609"/>
      <c r="FJ1121" s="609"/>
      <c r="FK1121" s="609"/>
      <c r="FL1121" s="609"/>
      <c r="FM1121" s="609"/>
      <c r="FN1121" s="609"/>
      <c r="FO1121" s="609"/>
      <c r="FP1121" s="609"/>
      <c r="FQ1121" s="609"/>
      <c r="FR1121" s="609"/>
      <c r="FS1121" s="609"/>
      <c r="FT1121" s="609"/>
      <c r="FU1121" s="609"/>
      <c r="FV1121" s="609"/>
      <c r="FW1121" s="609"/>
      <c r="FX1121" s="609"/>
      <c r="FY1121" s="609"/>
      <c r="FZ1121" s="609"/>
      <c r="GA1121" s="609"/>
      <c r="GB1121" s="609"/>
      <c r="GC1121" s="609"/>
      <c r="GD1121" s="609"/>
      <c r="GE1121" s="609"/>
      <c r="GF1121" s="609"/>
      <c r="GG1121" s="609"/>
      <c r="GH1121" s="609"/>
      <c r="GI1121" s="609"/>
      <c r="GJ1121" s="609"/>
      <c r="GK1121" s="609"/>
      <c r="GL1121" s="609"/>
      <c r="GM1121" s="609"/>
      <c r="GN1121" s="609"/>
      <c r="GO1121" s="609"/>
      <c r="GP1121" s="609"/>
      <c r="GQ1121" s="609"/>
      <c r="GR1121" s="609"/>
      <c r="GS1121" s="609"/>
      <c r="GT1121" s="609"/>
      <c r="GU1121" s="609"/>
      <c r="GV1121" s="609"/>
      <c r="GW1121" s="609"/>
      <c r="GX1121" s="609"/>
      <c r="GY1121" s="609"/>
      <c r="GZ1121" s="609"/>
      <c r="HA1121" s="609"/>
      <c r="HB1121" s="609"/>
      <c r="HC1121" s="609"/>
      <c r="HD1121" s="609"/>
      <c r="HE1121" s="609"/>
      <c r="HF1121" s="609"/>
      <c r="HG1121" s="609"/>
      <c r="HH1121" s="609"/>
      <c r="HI1121" s="609"/>
      <c r="HJ1121" s="609"/>
      <c r="HK1121" s="609"/>
      <c r="HL1121" s="609"/>
      <c r="HM1121" s="609"/>
      <c r="HN1121" s="609"/>
      <c r="HO1121" s="609"/>
      <c r="HP1121" s="609"/>
      <c r="HQ1121" s="609"/>
      <c r="HR1121" s="609"/>
      <c r="HS1121" s="609"/>
      <c r="HT1121" s="609"/>
      <c r="HU1121" s="609"/>
      <c r="HV1121" s="609"/>
      <c r="HW1121" s="609"/>
      <c r="HX1121" s="609"/>
      <c r="HY1121" s="609"/>
      <c r="HZ1121" s="609"/>
      <c r="IA1121" s="609"/>
      <c r="IB1121" s="609"/>
      <c r="IC1121" s="609"/>
      <c r="ID1121" s="609"/>
      <c r="IE1121" s="609"/>
      <c r="IF1121" s="609"/>
      <c r="IG1121" s="609"/>
      <c r="IH1121" s="609"/>
      <c r="II1121" s="609"/>
      <c r="IJ1121" s="609"/>
      <c r="IK1121" s="609"/>
      <c r="IL1121" s="609"/>
      <c r="IM1121" s="609"/>
      <c r="IN1121" s="609"/>
      <c r="IO1121" s="609"/>
      <c r="IP1121" s="609"/>
      <c r="IQ1121" s="609"/>
      <c r="IR1121" s="609"/>
      <c r="IS1121" s="609"/>
      <c r="IT1121" s="609"/>
      <c r="IU1121" s="609"/>
      <c r="IV1121" s="609"/>
    </row>
    <row r="1122" spans="1:256" s="642" customFormat="1" x14ac:dyDescent="0.25">
      <c r="A1122" s="634" t="s">
        <v>277</v>
      </c>
      <c r="B1122" s="634">
        <v>2439</v>
      </c>
      <c r="C1122" s="636"/>
      <c r="D1122" s="612" t="s">
        <v>1707</v>
      </c>
      <c r="E1122" s="636" t="s">
        <v>229</v>
      </c>
      <c r="F1122" s="612">
        <v>0.1</v>
      </c>
      <c r="G1122" s="681">
        <v>16.2</v>
      </c>
      <c r="H1122" s="612"/>
      <c r="I1122" s="695"/>
      <c r="J1122" s="695">
        <f>ROUND(F1122*G1122,2)</f>
        <v>1.62</v>
      </c>
      <c r="K1122" s="695"/>
      <c r="L1122" s="695"/>
      <c r="M1122" s="695"/>
      <c r="N1122" s="695"/>
      <c r="O1122" s="695"/>
      <c r="P1122" s="695"/>
      <c r="Q1122" s="609"/>
      <c r="R1122" s="609"/>
      <c r="S1122" s="609"/>
      <c r="T1122" s="609"/>
      <c r="U1122" s="609"/>
      <c r="V1122" s="609"/>
      <c r="W1122" s="609"/>
      <c r="X1122" s="609"/>
      <c r="Y1122" s="609"/>
      <c r="Z1122" s="609"/>
      <c r="AA1122" s="609"/>
      <c r="AB1122" s="609"/>
      <c r="AC1122" s="609"/>
      <c r="AD1122" s="609"/>
      <c r="AE1122" s="609"/>
      <c r="AF1122" s="609"/>
      <c r="AG1122" s="609"/>
      <c r="AH1122" s="609"/>
      <c r="AI1122" s="609"/>
      <c r="AJ1122" s="609"/>
      <c r="AK1122" s="609"/>
      <c r="AL1122" s="609"/>
      <c r="AM1122" s="609"/>
      <c r="AN1122" s="609"/>
      <c r="AO1122" s="609"/>
      <c r="AP1122" s="609"/>
      <c r="AQ1122" s="609"/>
      <c r="AR1122" s="609"/>
      <c r="AS1122" s="609"/>
      <c r="AT1122" s="609"/>
      <c r="AU1122" s="609"/>
      <c r="AV1122" s="609"/>
      <c r="AW1122" s="609"/>
      <c r="AX1122" s="609"/>
      <c r="AY1122" s="609"/>
      <c r="AZ1122" s="609"/>
      <c r="BA1122" s="609"/>
      <c r="BB1122" s="609"/>
      <c r="BC1122" s="609"/>
      <c r="BD1122" s="609"/>
      <c r="BE1122" s="609"/>
      <c r="BF1122" s="609"/>
      <c r="BG1122" s="609"/>
      <c r="BH1122" s="609"/>
      <c r="BI1122" s="609"/>
      <c r="BJ1122" s="609"/>
      <c r="BK1122" s="609"/>
      <c r="BL1122" s="609"/>
      <c r="BM1122" s="609"/>
      <c r="BN1122" s="609"/>
      <c r="BO1122" s="609"/>
      <c r="BP1122" s="609"/>
      <c r="BQ1122" s="609"/>
      <c r="BR1122" s="609"/>
      <c r="BS1122" s="609"/>
      <c r="BT1122" s="609"/>
      <c r="BU1122" s="609"/>
      <c r="BV1122" s="609"/>
      <c r="BW1122" s="609"/>
      <c r="BX1122" s="609"/>
      <c r="BY1122" s="609"/>
      <c r="BZ1122" s="609"/>
      <c r="CA1122" s="609"/>
      <c r="CB1122" s="609"/>
      <c r="CC1122" s="609"/>
      <c r="CD1122" s="609"/>
      <c r="CE1122" s="609"/>
      <c r="CF1122" s="609"/>
      <c r="CG1122" s="609"/>
      <c r="CH1122" s="609"/>
      <c r="CI1122" s="609"/>
      <c r="CJ1122" s="609"/>
      <c r="CK1122" s="609"/>
      <c r="CL1122" s="609"/>
      <c r="CM1122" s="609"/>
      <c r="CN1122" s="609"/>
      <c r="CO1122" s="609"/>
      <c r="CP1122" s="609"/>
      <c r="CQ1122" s="609"/>
      <c r="CR1122" s="609"/>
      <c r="CS1122" s="609"/>
      <c r="CT1122" s="609"/>
      <c r="CU1122" s="609"/>
      <c r="CV1122" s="609"/>
      <c r="CW1122" s="609"/>
      <c r="CX1122" s="609"/>
      <c r="CY1122" s="609"/>
      <c r="CZ1122" s="609"/>
      <c r="DA1122" s="609"/>
      <c r="DB1122" s="609"/>
      <c r="DC1122" s="609"/>
      <c r="DD1122" s="609"/>
      <c r="DE1122" s="609"/>
      <c r="DF1122" s="609"/>
      <c r="DG1122" s="609"/>
      <c r="DH1122" s="609"/>
      <c r="DI1122" s="609"/>
      <c r="DJ1122" s="609"/>
      <c r="DK1122" s="609"/>
      <c r="DL1122" s="609"/>
      <c r="DM1122" s="609"/>
      <c r="DN1122" s="609"/>
      <c r="DO1122" s="609"/>
      <c r="DP1122" s="609"/>
      <c r="DQ1122" s="609"/>
      <c r="DR1122" s="609"/>
      <c r="DS1122" s="609"/>
      <c r="DT1122" s="609"/>
      <c r="DU1122" s="609"/>
      <c r="DV1122" s="609"/>
      <c r="DW1122" s="609"/>
      <c r="DX1122" s="609"/>
      <c r="DY1122" s="609"/>
      <c r="DZ1122" s="609"/>
      <c r="EA1122" s="609"/>
      <c r="EB1122" s="609"/>
      <c r="EC1122" s="609"/>
      <c r="ED1122" s="609"/>
      <c r="EE1122" s="609"/>
      <c r="EF1122" s="609"/>
      <c r="EG1122" s="609"/>
      <c r="EH1122" s="609"/>
      <c r="EI1122" s="609"/>
      <c r="EJ1122" s="609"/>
      <c r="EK1122" s="609"/>
      <c r="EL1122" s="609"/>
      <c r="EM1122" s="609"/>
      <c r="EN1122" s="609"/>
      <c r="EO1122" s="609"/>
      <c r="EP1122" s="609"/>
      <c r="EQ1122" s="609"/>
      <c r="ER1122" s="609"/>
      <c r="ES1122" s="609"/>
      <c r="ET1122" s="609"/>
      <c r="EU1122" s="609"/>
      <c r="EV1122" s="609"/>
      <c r="EW1122" s="609"/>
      <c r="EX1122" s="609"/>
      <c r="EY1122" s="609"/>
      <c r="EZ1122" s="609"/>
      <c r="FA1122" s="609"/>
      <c r="FB1122" s="609"/>
      <c r="FC1122" s="609"/>
      <c r="FD1122" s="609"/>
      <c r="FE1122" s="609"/>
      <c r="FF1122" s="609"/>
      <c r="FG1122" s="609"/>
      <c r="FH1122" s="609"/>
      <c r="FI1122" s="609"/>
      <c r="FJ1122" s="609"/>
      <c r="FK1122" s="609"/>
      <c r="FL1122" s="609"/>
      <c r="FM1122" s="609"/>
      <c r="FN1122" s="609"/>
      <c r="FO1122" s="609"/>
      <c r="FP1122" s="609"/>
      <c r="FQ1122" s="609"/>
      <c r="FR1122" s="609"/>
      <c r="FS1122" s="609"/>
      <c r="FT1122" s="609"/>
      <c r="FU1122" s="609"/>
      <c r="FV1122" s="609"/>
      <c r="FW1122" s="609"/>
      <c r="FX1122" s="609"/>
      <c r="FY1122" s="609"/>
      <c r="FZ1122" s="609"/>
      <c r="GA1122" s="609"/>
      <c r="GB1122" s="609"/>
      <c r="GC1122" s="609"/>
      <c r="GD1122" s="609"/>
      <c r="GE1122" s="609"/>
      <c r="GF1122" s="609"/>
      <c r="GG1122" s="609"/>
      <c r="GH1122" s="609"/>
      <c r="GI1122" s="609"/>
      <c r="GJ1122" s="609"/>
      <c r="GK1122" s="609"/>
      <c r="GL1122" s="609"/>
      <c r="GM1122" s="609"/>
      <c r="GN1122" s="609"/>
      <c r="GO1122" s="609"/>
      <c r="GP1122" s="609"/>
      <c r="GQ1122" s="609"/>
      <c r="GR1122" s="609"/>
      <c r="GS1122" s="609"/>
      <c r="GT1122" s="609"/>
      <c r="GU1122" s="609"/>
      <c r="GV1122" s="609"/>
      <c r="GW1122" s="609"/>
      <c r="GX1122" s="609"/>
      <c r="GY1122" s="609"/>
      <c r="GZ1122" s="609"/>
      <c r="HA1122" s="609"/>
      <c r="HB1122" s="609"/>
      <c r="HC1122" s="609"/>
      <c r="HD1122" s="609"/>
      <c r="HE1122" s="609"/>
      <c r="HF1122" s="609"/>
      <c r="HG1122" s="609"/>
      <c r="HH1122" s="609"/>
      <c r="HI1122" s="609"/>
      <c r="HJ1122" s="609"/>
      <c r="HK1122" s="609"/>
      <c r="HL1122" s="609"/>
      <c r="HM1122" s="609"/>
      <c r="HN1122" s="609"/>
      <c r="HO1122" s="609"/>
      <c r="HP1122" s="609"/>
      <c r="HQ1122" s="609"/>
      <c r="HR1122" s="609"/>
      <c r="HS1122" s="609"/>
      <c r="HT1122" s="609"/>
      <c r="HU1122" s="609"/>
      <c r="HV1122" s="609"/>
      <c r="HW1122" s="609"/>
      <c r="HX1122" s="609"/>
      <c r="HY1122" s="609"/>
      <c r="HZ1122" s="609"/>
      <c r="IA1122" s="609"/>
      <c r="IB1122" s="609"/>
      <c r="IC1122" s="609"/>
      <c r="ID1122" s="609"/>
      <c r="IE1122" s="609"/>
      <c r="IF1122" s="609"/>
      <c r="IG1122" s="609"/>
      <c r="IH1122" s="609"/>
      <c r="II1122" s="609"/>
      <c r="IJ1122" s="609"/>
      <c r="IK1122" s="609"/>
      <c r="IL1122" s="609"/>
      <c r="IM1122" s="609"/>
      <c r="IN1122" s="609"/>
      <c r="IO1122" s="609"/>
      <c r="IP1122" s="609"/>
      <c r="IQ1122" s="609"/>
      <c r="IR1122" s="609"/>
      <c r="IS1122" s="609"/>
      <c r="IT1122" s="609"/>
      <c r="IU1122" s="609"/>
      <c r="IV1122" s="609"/>
    </row>
    <row r="1123" spans="1:256" s="642" customFormat="1" x14ac:dyDescent="0.25">
      <c r="A1123" s="634" t="s">
        <v>277</v>
      </c>
      <c r="B1123" s="634">
        <v>247</v>
      </c>
      <c r="C1123" s="636"/>
      <c r="D1123" s="635" t="s">
        <v>1070</v>
      </c>
      <c r="E1123" s="636" t="s">
        <v>229</v>
      </c>
      <c r="F1123" s="612">
        <v>0.1</v>
      </c>
      <c r="G1123" s="681">
        <v>9.65</v>
      </c>
      <c r="H1123" s="612"/>
      <c r="I1123" s="695"/>
      <c r="J1123" s="695">
        <f>ROUND(F1123*G1123,2)</f>
        <v>0.97</v>
      </c>
      <c r="K1123" s="695"/>
      <c r="L1123" s="695"/>
      <c r="M1123" s="695"/>
      <c r="N1123" s="695"/>
      <c r="O1123" s="695"/>
      <c r="P1123" s="695"/>
      <c r="Q1123" s="609"/>
      <c r="R1123" s="609"/>
      <c r="S1123" s="609"/>
      <c r="T1123" s="609"/>
      <c r="U1123" s="609"/>
      <c r="V1123" s="609"/>
      <c r="W1123" s="609"/>
      <c r="X1123" s="609"/>
      <c r="Y1123" s="609"/>
      <c r="Z1123" s="609"/>
      <c r="AA1123" s="609"/>
      <c r="AB1123" s="609"/>
      <c r="AC1123" s="609"/>
      <c r="AD1123" s="609"/>
      <c r="AE1123" s="609"/>
      <c r="AF1123" s="609"/>
      <c r="AG1123" s="609"/>
      <c r="AH1123" s="609"/>
      <c r="AI1123" s="609"/>
      <c r="AJ1123" s="609"/>
      <c r="AK1123" s="609"/>
      <c r="AL1123" s="609"/>
      <c r="AM1123" s="609"/>
      <c r="AN1123" s="609"/>
      <c r="AO1123" s="609"/>
      <c r="AP1123" s="609"/>
      <c r="AQ1123" s="609"/>
      <c r="AR1123" s="609"/>
      <c r="AS1123" s="609"/>
      <c r="AT1123" s="609"/>
      <c r="AU1123" s="609"/>
      <c r="AV1123" s="609"/>
      <c r="AW1123" s="609"/>
      <c r="AX1123" s="609"/>
      <c r="AY1123" s="609"/>
      <c r="AZ1123" s="609"/>
      <c r="BA1123" s="609"/>
      <c r="BB1123" s="609"/>
      <c r="BC1123" s="609"/>
      <c r="BD1123" s="609"/>
      <c r="BE1123" s="609"/>
      <c r="BF1123" s="609"/>
      <c r="BG1123" s="609"/>
      <c r="BH1123" s="609"/>
      <c r="BI1123" s="609"/>
      <c r="BJ1123" s="609"/>
      <c r="BK1123" s="609"/>
      <c r="BL1123" s="609"/>
      <c r="BM1123" s="609"/>
      <c r="BN1123" s="609"/>
      <c r="BO1123" s="609"/>
      <c r="BP1123" s="609"/>
      <c r="BQ1123" s="609"/>
      <c r="BR1123" s="609"/>
      <c r="BS1123" s="609"/>
      <c r="BT1123" s="609"/>
      <c r="BU1123" s="609"/>
      <c r="BV1123" s="609"/>
      <c r="BW1123" s="609"/>
      <c r="BX1123" s="609"/>
      <c r="BY1123" s="609"/>
      <c r="BZ1123" s="609"/>
      <c r="CA1123" s="609"/>
      <c r="CB1123" s="609"/>
      <c r="CC1123" s="609"/>
      <c r="CD1123" s="609"/>
      <c r="CE1123" s="609"/>
      <c r="CF1123" s="609"/>
      <c r="CG1123" s="609"/>
      <c r="CH1123" s="609"/>
      <c r="CI1123" s="609"/>
      <c r="CJ1123" s="609"/>
      <c r="CK1123" s="609"/>
      <c r="CL1123" s="609"/>
      <c r="CM1123" s="609"/>
      <c r="CN1123" s="609"/>
      <c r="CO1123" s="609"/>
      <c r="CP1123" s="609"/>
      <c r="CQ1123" s="609"/>
      <c r="CR1123" s="609"/>
      <c r="CS1123" s="609"/>
      <c r="CT1123" s="609"/>
      <c r="CU1123" s="609"/>
      <c r="CV1123" s="609"/>
      <c r="CW1123" s="609"/>
      <c r="CX1123" s="609"/>
      <c r="CY1123" s="609"/>
      <c r="CZ1123" s="609"/>
      <c r="DA1123" s="609"/>
      <c r="DB1123" s="609"/>
      <c r="DC1123" s="609"/>
      <c r="DD1123" s="609"/>
      <c r="DE1123" s="609"/>
      <c r="DF1123" s="609"/>
      <c r="DG1123" s="609"/>
      <c r="DH1123" s="609"/>
      <c r="DI1123" s="609"/>
      <c r="DJ1123" s="609"/>
      <c r="DK1123" s="609"/>
      <c r="DL1123" s="609"/>
      <c r="DM1123" s="609"/>
      <c r="DN1123" s="609"/>
      <c r="DO1123" s="609"/>
      <c r="DP1123" s="609"/>
      <c r="DQ1123" s="609"/>
      <c r="DR1123" s="609"/>
      <c r="DS1123" s="609"/>
      <c r="DT1123" s="609"/>
      <c r="DU1123" s="609"/>
      <c r="DV1123" s="609"/>
      <c r="DW1123" s="609"/>
      <c r="DX1123" s="609"/>
      <c r="DY1123" s="609"/>
      <c r="DZ1123" s="609"/>
      <c r="EA1123" s="609"/>
      <c r="EB1123" s="609"/>
      <c r="EC1123" s="609"/>
      <c r="ED1123" s="609"/>
      <c r="EE1123" s="609"/>
      <c r="EF1123" s="609"/>
      <c r="EG1123" s="609"/>
      <c r="EH1123" s="609"/>
      <c r="EI1123" s="609"/>
      <c r="EJ1123" s="609"/>
      <c r="EK1123" s="609"/>
      <c r="EL1123" s="609"/>
      <c r="EM1123" s="609"/>
      <c r="EN1123" s="609"/>
      <c r="EO1123" s="609"/>
      <c r="EP1123" s="609"/>
      <c r="EQ1123" s="609"/>
      <c r="ER1123" s="609"/>
      <c r="ES1123" s="609"/>
      <c r="ET1123" s="609"/>
      <c r="EU1123" s="609"/>
      <c r="EV1123" s="609"/>
      <c r="EW1123" s="609"/>
      <c r="EX1123" s="609"/>
      <c r="EY1123" s="609"/>
      <c r="EZ1123" s="609"/>
      <c r="FA1123" s="609"/>
      <c r="FB1123" s="609"/>
      <c r="FC1123" s="609"/>
      <c r="FD1123" s="609"/>
      <c r="FE1123" s="609"/>
      <c r="FF1123" s="609"/>
      <c r="FG1123" s="609"/>
      <c r="FH1123" s="609"/>
      <c r="FI1123" s="609"/>
      <c r="FJ1123" s="609"/>
      <c r="FK1123" s="609"/>
      <c r="FL1123" s="609"/>
      <c r="FM1123" s="609"/>
      <c r="FN1123" s="609"/>
      <c r="FO1123" s="609"/>
      <c r="FP1123" s="609"/>
      <c r="FQ1123" s="609"/>
      <c r="FR1123" s="609"/>
      <c r="FS1123" s="609"/>
      <c r="FT1123" s="609"/>
      <c r="FU1123" s="609"/>
      <c r="FV1123" s="609"/>
      <c r="FW1123" s="609"/>
      <c r="FX1123" s="609"/>
      <c r="FY1123" s="609"/>
      <c r="FZ1123" s="609"/>
      <c r="GA1123" s="609"/>
      <c r="GB1123" s="609"/>
      <c r="GC1123" s="609"/>
      <c r="GD1123" s="609"/>
      <c r="GE1123" s="609"/>
      <c r="GF1123" s="609"/>
      <c r="GG1123" s="609"/>
      <c r="GH1123" s="609"/>
      <c r="GI1123" s="609"/>
      <c r="GJ1123" s="609"/>
      <c r="GK1123" s="609"/>
      <c r="GL1123" s="609"/>
      <c r="GM1123" s="609"/>
      <c r="GN1123" s="609"/>
      <c r="GO1123" s="609"/>
      <c r="GP1123" s="609"/>
      <c r="GQ1123" s="609"/>
      <c r="GR1123" s="609"/>
      <c r="GS1123" s="609"/>
      <c r="GT1123" s="609"/>
      <c r="GU1123" s="609"/>
      <c r="GV1123" s="609"/>
      <c r="GW1123" s="609"/>
      <c r="GX1123" s="609"/>
      <c r="GY1123" s="609"/>
      <c r="GZ1123" s="609"/>
      <c r="HA1123" s="609"/>
      <c r="HB1123" s="609"/>
      <c r="HC1123" s="609"/>
      <c r="HD1123" s="609"/>
      <c r="HE1123" s="609"/>
      <c r="HF1123" s="609"/>
      <c r="HG1123" s="609"/>
      <c r="HH1123" s="609"/>
      <c r="HI1123" s="609"/>
      <c r="HJ1123" s="609"/>
      <c r="HK1123" s="609"/>
      <c r="HL1123" s="609"/>
      <c r="HM1123" s="609"/>
      <c r="HN1123" s="609"/>
      <c r="HO1123" s="609"/>
      <c r="HP1123" s="609"/>
      <c r="HQ1123" s="609"/>
      <c r="HR1123" s="609"/>
      <c r="HS1123" s="609"/>
      <c r="HT1123" s="609"/>
      <c r="HU1123" s="609"/>
      <c r="HV1123" s="609"/>
      <c r="HW1123" s="609"/>
      <c r="HX1123" s="609"/>
      <c r="HY1123" s="609"/>
      <c r="HZ1123" s="609"/>
      <c r="IA1123" s="609"/>
      <c r="IB1123" s="609"/>
      <c r="IC1123" s="609"/>
      <c r="ID1123" s="609"/>
      <c r="IE1123" s="609"/>
      <c r="IF1123" s="609"/>
      <c r="IG1123" s="609"/>
      <c r="IH1123" s="609"/>
      <c r="II1123" s="609"/>
      <c r="IJ1123" s="609"/>
      <c r="IK1123" s="609"/>
      <c r="IL1123" s="609"/>
      <c r="IM1123" s="609"/>
      <c r="IN1123" s="609"/>
      <c r="IO1123" s="609"/>
      <c r="IP1123" s="609"/>
      <c r="IQ1123" s="609"/>
      <c r="IR1123" s="609"/>
      <c r="IS1123" s="609"/>
      <c r="IT1123" s="609"/>
      <c r="IU1123" s="609"/>
      <c r="IV1123" s="609"/>
    </row>
    <row r="1124" spans="1:256" s="642" customFormat="1" x14ac:dyDescent="0.25">
      <c r="A1124" s="675"/>
      <c r="B1124" s="675"/>
      <c r="C1124" s="675" t="s">
        <v>1809</v>
      </c>
      <c r="D1124" s="620" t="s">
        <v>1810</v>
      </c>
      <c r="E1124" s="675" t="s">
        <v>251</v>
      </c>
      <c r="F1124" s="620"/>
      <c r="G1124" s="622"/>
      <c r="H1124" s="620">
        <v>39</v>
      </c>
      <c r="I1124" s="677">
        <f>SUM(I1125:I1127)</f>
        <v>16.899999999999999</v>
      </c>
      <c r="J1124" s="677">
        <f>SUM(J1125:J1127)</f>
        <v>2.59</v>
      </c>
      <c r="K1124" s="665">
        <f>I1124+J1124</f>
        <v>19.489999999999998</v>
      </c>
      <c r="L1124" s="622">
        <f>H1124*I1124</f>
        <v>659.09999999999991</v>
      </c>
      <c r="M1124" s="622">
        <f>H1124*J1124</f>
        <v>101.00999999999999</v>
      </c>
      <c r="N1124" s="622">
        <f>L1124+M1124</f>
        <v>760.1099999999999</v>
      </c>
      <c r="O1124" s="622">
        <f>N1124*$P$4</f>
        <v>186.68301599999998</v>
      </c>
      <c r="P1124" s="622">
        <f>N1124+O1124</f>
        <v>946.79301599999985</v>
      </c>
      <c r="Q1124" s="609"/>
      <c r="R1124" s="609"/>
      <c r="S1124" s="609"/>
      <c r="T1124" s="609"/>
      <c r="U1124" s="609"/>
      <c r="V1124" s="609"/>
      <c r="W1124" s="609"/>
      <c r="X1124" s="609"/>
      <c r="Y1124" s="609"/>
      <c r="Z1124" s="609"/>
      <c r="AA1124" s="609"/>
      <c r="AB1124" s="609"/>
      <c r="AC1124" s="609"/>
      <c r="AD1124" s="609"/>
      <c r="AE1124" s="609"/>
      <c r="AF1124" s="609"/>
      <c r="AG1124" s="609"/>
      <c r="AH1124" s="609"/>
      <c r="AI1124" s="609"/>
      <c r="AJ1124" s="609"/>
      <c r="AK1124" s="609"/>
      <c r="AL1124" s="609"/>
      <c r="AM1124" s="609"/>
      <c r="AN1124" s="609"/>
      <c r="AO1124" s="609"/>
      <c r="AP1124" s="609"/>
      <c r="AQ1124" s="609"/>
      <c r="AR1124" s="609"/>
      <c r="AS1124" s="609"/>
      <c r="AT1124" s="609"/>
      <c r="AU1124" s="609"/>
      <c r="AV1124" s="609"/>
      <c r="AW1124" s="609"/>
      <c r="AX1124" s="609"/>
      <c r="AY1124" s="609"/>
      <c r="AZ1124" s="609"/>
      <c r="BA1124" s="609"/>
      <c r="BB1124" s="609"/>
      <c r="BC1124" s="609"/>
      <c r="BD1124" s="609"/>
      <c r="BE1124" s="609"/>
      <c r="BF1124" s="609"/>
      <c r="BG1124" s="609"/>
      <c r="BH1124" s="609"/>
      <c r="BI1124" s="609"/>
      <c r="BJ1124" s="609"/>
      <c r="BK1124" s="609"/>
      <c r="BL1124" s="609"/>
      <c r="BM1124" s="609"/>
      <c r="BN1124" s="609"/>
      <c r="BO1124" s="609"/>
      <c r="BP1124" s="609"/>
      <c r="BQ1124" s="609"/>
      <c r="BR1124" s="609"/>
      <c r="BS1124" s="609"/>
      <c r="BT1124" s="609"/>
      <c r="BU1124" s="609"/>
      <c r="BV1124" s="609"/>
      <c r="BW1124" s="609"/>
      <c r="BX1124" s="609"/>
      <c r="BY1124" s="609"/>
      <c r="BZ1124" s="609"/>
      <c r="CA1124" s="609"/>
      <c r="CB1124" s="609"/>
      <c r="CC1124" s="609"/>
      <c r="CD1124" s="609"/>
      <c r="CE1124" s="609"/>
      <c r="CF1124" s="609"/>
      <c r="CG1124" s="609"/>
      <c r="CH1124" s="609"/>
      <c r="CI1124" s="609"/>
      <c r="CJ1124" s="609"/>
      <c r="CK1124" s="609"/>
      <c r="CL1124" s="609"/>
      <c r="CM1124" s="609"/>
      <c r="CN1124" s="609"/>
      <c r="CO1124" s="609"/>
      <c r="CP1124" s="609"/>
      <c r="CQ1124" s="609"/>
      <c r="CR1124" s="609"/>
      <c r="CS1124" s="609"/>
      <c r="CT1124" s="609"/>
      <c r="CU1124" s="609"/>
      <c r="CV1124" s="609"/>
      <c r="CW1124" s="609"/>
      <c r="CX1124" s="609"/>
      <c r="CY1124" s="609"/>
      <c r="CZ1124" s="609"/>
      <c r="DA1124" s="609"/>
      <c r="DB1124" s="609"/>
      <c r="DC1124" s="609"/>
      <c r="DD1124" s="609"/>
      <c r="DE1124" s="609"/>
      <c r="DF1124" s="609"/>
      <c r="DG1124" s="609"/>
      <c r="DH1124" s="609"/>
      <c r="DI1124" s="609"/>
      <c r="DJ1124" s="609"/>
      <c r="DK1124" s="609"/>
      <c r="DL1124" s="609"/>
      <c r="DM1124" s="609"/>
      <c r="DN1124" s="609"/>
      <c r="DO1124" s="609"/>
      <c r="DP1124" s="609"/>
      <c r="DQ1124" s="609"/>
      <c r="DR1124" s="609"/>
      <c r="DS1124" s="609"/>
      <c r="DT1124" s="609"/>
      <c r="DU1124" s="609"/>
      <c r="DV1124" s="609"/>
      <c r="DW1124" s="609"/>
      <c r="DX1124" s="609"/>
      <c r="DY1124" s="609"/>
      <c r="DZ1124" s="609"/>
      <c r="EA1124" s="609"/>
      <c r="EB1124" s="609"/>
      <c r="EC1124" s="609"/>
      <c r="ED1124" s="609"/>
      <c r="EE1124" s="609"/>
      <c r="EF1124" s="609"/>
      <c r="EG1124" s="609"/>
      <c r="EH1124" s="609"/>
      <c r="EI1124" s="609"/>
      <c r="EJ1124" s="609"/>
      <c r="EK1124" s="609"/>
      <c r="EL1124" s="609"/>
      <c r="EM1124" s="609"/>
      <c r="EN1124" s="609"/>
      <c r="EO1124" s="609"/>
      <c r="EP1124" s="609"/>
      <c r="EQ1124" s="609"/>
      <c r="ER1124" s="609"/>
      <c r="ES1124" s="609"/>
      <c r="ET1124" s="609"/>
      <c r="EU1124" s="609"/>
      <c r="EV1124" s="609"/>
      <c r="EW1124" s="609"/>
      <c r="EX1124" s="609"/>
      <c r="EY1124" s="609"/>
      <c r="EZ1124" s="609"/>
      <c r="FA1124" s="609"/>
      <c r="FB1124" s="609"/>
      <c r="FC1124" s="609"/>
      <c r="FD1124" s="609"/>
      <c r="FE1124" s="609"/>
      <c r="FF1124" s="609"/>
      <c r="FG1124" s="609"/>
      <c r="FH1124" s="609"/>
      <c r="FI1124" s="609"/>
      <c r="FJ1124" s="609"/>
      <c r="FK1124" s="609"/>
      <c r="FL1124" s="609"/>
      <c r="FM1124" s="609"/>
      <c r="FN1124" s="609"/>
      <c r="FO1124" s="609"/>
      <c r="FP1124" s="609"/>
      <c r="FQ1124" s="609"/>
      <c r="FR1124" s="609"/>
      <c r="FS1124" s="609"/>
      <c r="FT1124" s="609"/>
      <c r="FU1124" s="609"/>
      <c r="FV1124" s="609"/>
      <c r="FW1124" s="609"/>
      <c r="FX1124" s="609"/>
      <c r="FY1124" s="609"/>
      <c r="FZ1124" s="609"/>
      <c r="GA1124" s="609"/>
      <c r="GB1124" s="609"/>
      <c r="GC1124" s="609"/>
      <c r="GD1124" s="609"/>
      <c r="GE1124" s="609"/>
      <c r="GF1124" s="609"/>
      <c r="GG1124" s="609"/>
      <c r="GH1124" s="609"/>
      <c r="GI1124" s="609"/>
      <c r="GJ1124" s="609"/>
      <c r="GK1124" s="609"/>
      <c r="GL1124" s="609"/>
      <c r="GM1124" s="609"/>
      <c r="GN1124" s="609"/>
      <c r="GO1124" s="609"/>
      <c r="GP1124" s="609"/>
      <c r="GQ1124" s="609"/>
      <c r="GR1124" s="609"/>
      <c r="GS1124" s="609"/>
      <c r="GT1124" s="609"/>
      <c r="GU1124" s="609"/>
      <c r="GV1124" s="609"/>
      <c r="GW1124" s="609"/>
      <c r="GX1124" s="609"/>
      <c r="GY1124" s="609"/>
      <c r="GZ1124" s="609"/>
      <c r="HA1124" s="609"/>
      <c r="HB1124" s="609"/>
      <c r="HC1124" s="609"/>
      <c r="HD1124" s="609"/>
      <c r="HE1124" s="609"/>
      <c r="HF1124" s="609"/>
      <c r="HG1124" s="609"/>
      <c r="HH1124" s="609"/>
      <c r="HI1124" s="609"/>
      <c r="HJ1124" s="609"/>
      <c r="HK1124" s="609"/>
      <c r="HL1124" s="609"/>
      <c r="HM1124" s="609"/>
      <c r="HN1124" s="609"/>
      <c r="HO1124" s="609"/>
      <c r="HP1124" s="609"/>
      <c r="HQ1124" s="609"/>
      <c r="HR1124" s="609"/>
      <c r="HS1124" s="609"/>
      <c r="HT1124" s="609"/>
      <c r="HU1124" s="609"/>
      <c r="HV1124" s="609"/>
      <c r="HW1124" s="609"/>
      <c r="HX1124" s="609"/>
      <c r="HY1124" s="609"/>
      <c r="HZ1124" s="609"/>
      <c r="IA1124" s="609"/>
      <c r="IB1124" s="609"/>
      <c r="IC1124" s="609"/>
      <c r="ID1124" s="609"/>
      <c r="IE1124" s="609"/>
      <c r="IF1124" s="609"/>
      <c r="IG1124" s="609"/>
      <c r="IH1124" s="609"/>
      <c r="II1124" s="609"/>
      <c r="IJ1124" s="609"/>
      <c r="IK1124" s="609"/>
      <c r="IL1124" s="609"/>
      <c r="IM1124" s="609"/>
      <c r="IN1124" s="609"/>
      <c r="IO1124" s="609"/>
      <c r="IP1124" s="609"/>
      <c r="IQ1124" s="609"/>
      <c r="IR1124" s="609"/>
      <c r="IS1124" s="609"/>
      <c r="IT1124" s="609"/>
      <c r="IU1124" s="609"/>
      <c r="IV1124" s="609"/>
    </row>
    <row r="1125" spans="1:256" s="642" customFormat="1" x14ac:dyDescent="0.25">
      <c r="A1125" s="634" t="s">
        <v>1705</v>
      </c>
      <c r="B1125" s="679"/>
      <c r="C1125" s="636"/>
      <c r="D1125" s="726" t="s">
        <v>1810</v>
      </c>
      <c r="E1125" s="636" t="s">
        <v>251</v>
      </c>
      <c r="F1125" s="612">
        <v>1</v>
      </c>
      <c r="G1125" s="681">
        <v>16.899999999999999</v>
      </c>
      <c r="H1125" s="612"/>
      <c r="I1125" s="695">
        <f>ROUND(F1125*G1125,2)</f>
        <v>16.899999999999999</v>
      </c>
      <c r="J1125" s="695" t="s">
        <v>1207</v>
      </c>
      <c r="K1125" s="695"/>
      <c r="L1125" s="695"/>
      <c r="M1125" s="695"/>
      <c r="N1125" s="695"/>
      <c r="O1125" s="695"/>
      <c r="P1125" s="695"/>
      <c r="Q1125" s="609"/>
      <c r="R1125" s="609"/>
      <c r="S1125" s="609"/>
      <c r="T1125" s="609"/>
      <c r="U1125" s="609"/>
      <c r="V1125" s="609"/>
      <c r="W1125" s="609"/>
      <c r="X1125" s="609"/>
      <c r="Y1125" s="609"/>
      <c r="Z1125" s="609"/>
      <c r="AA1125" s="609"/>
      <c r="AB1125" s="609"/>
      <c r="AC1125" s="609"/>
      <c r="AD1125" s="609"/>
      <c r="AE1125" s="609"/>
      <c r="AF1125" s="609"/>
      <c r="AG1125" s="609"/>
      <c r="AH1125" s="609"/>
      <c r="AI1125" s="609"/>
      <c r="AJ1125" s="609"/>
      <c r="AK1125" s="609"/>
      <c r="AL1125" s="609"/>
      <c r="AM1125" s="609"/>
      <c r="AN1125" s="609"/>
      <c r="AO1125" s="609"/>
      <c r="AP1125" s="609"/>
      <c r="AQ1125" s="609"/>
      <c r="AR1125" s="609"/>
      <c r="AS1125" s="609"/>
      <c r="AT1125" s="609"/>
      <c r="AU1125" s="609"/>
      <c r="AV1125" s="609"/>
      <c r="AW1125" s="609"/>
      <c r="AX1125" s="609"/>
      <c r="AY1125" s="609"/>
      <c r="AZ1125" s="609"/>
      <c r="BA1125" s="609"/>
      <c r="BB1125" s="609"/>
      <c r="BC1125" s="609"/>
      <c r="BD1125" s="609"/>
      <c r="BE1125" s="609"/>
      <c r="BF1125" s="609"/>
      <c r="BG1125" s="609"/>
      <c r="BH1125" s="609"/>
      <c r="BI1125" s="609"/>
      <c r="BJ1125" s="609"/>
      <c r="BK1125" s="609"/>
      <c r="BL1125" s="609"/>
      <c r="BM1125" s="609"/>
      <c r="BN1125" s="609"/>
      <c r="BO1125" s="609"/>
      <c r="BP1125" s="609"/>
      <c r="BQ1125" s="609"/>
      <c r="BR1125" s="609"/>
      <c r="BS1125" s="609"/>
      <c r="BT1125" s="609"/>
      <c r="BU1125" s="609"/>
      <c r="BV1125" s="609"/>
      <c r="BW1125" s="609"/>
      <c r="BX1125" s="609"/>
      <c r="BY1125" s="609"/>
      <c r="BZ1125" s="609"/>
      <c r="CA1125" s="609"/>
      <c r="CB1125" s="609"/>
      <c r="CC1125" s="609"/>
      <c r="CD1125" s="609"/>
      <c r="CE1125" s="609"/>
      <c r="CF1125" s="609"/>
      <c r="CG1125" s="609"/>
      <c r="CH1125" s="609"/>
      <c r="CI1125" s="609"/>
      <c r="CJ1125" s="609"/>
      <c r="CK1125" s="609"/>
      <c r="CL1125" s="609"/>
      <c r="CM1125" s="609"/>
      <c r="CN1125" s="609"/>
      <c r="CO1125" s="609"/>
      <c r="CP1125" s="609"/>
      <c r="CQ1125" s="609"/>
      <c r="CR1125" s="609"/>
      <c r="CS1125" s="609"/>
      <c r="CT1125" s="609"/>
      <c r="CU1125" s="609"/>
      <c r="CV1125" s="609"/>
      <c r="CW1125" s="609"/>
      <c r="CX1125" s="609"/>
      <c r="CY1125" s="609"/>
      <c r="CZ1125" s="609"/>
      <c r="DA1125" s="609"/>
      <c r="DB1125" s="609"/>
      <c r="DC1125" s="609"/>
      <c r="DD1125" s="609"/>
      <c r="DE1125" s="609"/>
      <c r="DF1125" s="609"/>
      <c r="DG1125" s="609"/>
      <c r="DH1125" s="609"/>
      <c r="DI1125" s="609"/>
      <c r="DJ1125" s="609"/>
      <c r="DK1125" s="609"/>
      <c r="DL1125" s="609"/>
      <c r="DM1125" s="609"/>
      <c r="DN1125" s="609"/>
      <c r="DO1125" s="609"/>
      <c r="DP1125" s="609"/>
      <c r="DQ1125" s="609"/>
      <c r="DR1125" s="609"/>
      <c r="DS1125" s="609"/>
      <c r="DT1125" s="609"/>
      <c r="DU1125" s="609"/>
      <c r="DV1125" s="609"/>
      <c r="DW1125" s="609"/>
      <c r="DX1125" s="609"/>
      <c r="DY1125" s="609"/>
      <c r="DZ1125" s="609"/>
      <c r="EA1125" s="609"/>
      <c r="EB1125" s="609"/>
      <c r="EC1125" s="609"/>
      <c r="ED1125" s="609"/>
      <c r="EE1125" s="609"/>
      <c r="EF1125" s="609"/>
      <c r="EG1125" s="609"/>
      <c r="EH1125" s="609"/>
      <c r="EI1125" s="609"/>
      <c r="EJ1125" s="609"/>
      <c r="EK1125" s="609"/>
      <c r="EL1125" s="609"/>
      <c r="EM1125" s="609"/>
      <c r="EN1125" s="609"/>
      <c r="EO1125" s="609"/>
      <c r="EP1125" s="609"/>
      <c r="EQ1125" s="609"/>
      <c r="ER1125" s="609"/>
      <c r="ES1125" s="609"/>
      <c r="ET1125" s="609"/>
      <c r="EU1125" s="609"/>
      <c r="EV1125" s="609"/>
      <c r="EW1125" s="609"/>
      <c r="EX1125" s="609"/>
      <c r="EY1125" s="609"/>
      <c r="EZ1125" s="609"/>
      <c r="FA1125" s="609"/>
      <c r="FB1125" s="609"/>
      <c r="FC1125" s="609"/>
      <c r="FD1125" s="609"/>
      <c r="FE1125" s="609"/>
      <c r="FF1125" s="609"/>
      <c r="FG1125" s="609"/>
      <c r="FH1125" s="609"/>
      <c r="FI1125" s="609"/>
      <c r="FJ1125" s="609"/>
      <c r="FK1125" s="609"/>
      <c r="FL1125" s="609"/>
      <c r="FM1125" s="609"/>
      <c r="FN1125" s="609"/>
      <c r="FO1125" s="609"/>
      <c r="FP1125" s="609"/>
      <c r="FQ1125" s="609"/>
      <c r="FR1125" s="609"/>
      <c r="FS1125" s="609"/>
      <c r="FT1125" s="609"/>
      <c r="FU1125" s="609"/>
      <c r="FV1125" s="609"/>
      <c r="FW1125" s="609"/>
      <c r="FX1125" s="609"/>
      <c r="FY1125" s="609"/>
      <c r="FZ1125" s="609"/>
      <c r="GA1125" s="609"/>
      <c r="GB1125" s="609"/>
      <c r="GC1125" s="609"/>
      <c r="GD1125" s="609"/>
      <c r="GE1125" s="609"/>
      <c r="GF1125" s="609"/>
      <c r="GG1125" s="609"/>
      <c r="GH1125" s="609"/>
      <c r="GI1125" s="609"/>
      <c r="GJ1125" s="609"/>
      <c r="GK1125" s="609"/>
      <c r="GL1125" s="609"/>
      <c r="GM1125" s="609"/>
      <c r="GN1125" s="609"/>
      <c r="GO1125" s="609"/>
      <c r="GP1125" s="609"/>
      <c r="GQ1125" s="609"/>
      <c r="GR1125" s="609"/>
      <c r="GS1125" s="609"/>
      <c r="GT1125" s="609"/>
      <c r="GU1125" s="609"/>
      <c r="GV1125" s="609"/>
      <c r="GW1125" s="609"/>
      <c r="GX1125" s="609"/>
      <c r="GY1125" s="609"/>
      <c r="GZ1125" s="609"/>
      <c r="HA1125" s="609"/>
      <c r="HB1125" s="609"/>
      <c r="HC1125" s="609"/>
      <c r="HD1125" s="609"/>
      <c r="HE1125" s="609"/>
      <c r="HF1125" s="609"/>
      <c r="HG1125" s="609"/>
      <c r="HH1125" s="609"/>
      <c r="HI1125" s="609"/>
      <c r="HJ1125" s="609"/>
      <c r="HK1125" s="609"/>
      <c r="HL1125" s="609"/>
      <c r="HM1125" s="609"/>
      <c r="HN1125" s="609"/>
      <c r="HO1125" s="609"/>
      <c r="HP1125" s="609"/>
      <c r="HQ1125" s="609"/>
      <c r="HR1125" s="609"/>
      <c r="HS1125" s="609"/>
      <c r="HT1125" s="609"/>
      <c r="HU1125" s="609"/>
      <c r="HV1125" s="609"/>
      <c r="HW1125" s="609"/>
      <c r="HX1125" s="609"/>
      <c r="HY1125" s="609"/>
      <c r="HZ1125" s="609"/>
      <c r="IA1125" s="609"/>
      <c r="IB1125" s="609"/>
      <c r="IC1125" s="609"/>
      <c r="ID1125" s="609"/>
      <c r="IE1125" s="609"/>
      <c r="IF1125" s="609"/>
      <c r="IG1125" s="609"/>
      <c r="IH1125" s="609"/>
      <c r="II1125" s="609"/>
      <c r="IJ1125" s="609"/>
      <c r="IK1125" s="609"/>
      <c r="IL1125" s="609"/>
      <c r="IM1125" s="609"/>
      <c r="IN1125" s="609"/>
      <c r="IO1125" s="609"/>
      <c r="IP1125" s="609"/>
      <c r="IQ1125" s="609"/>
      <c r="IR1125" s="609"/>
      <c r="IS1125" s="609"/>
      <c r="IT1125" s="609"/>
      <c r="IU1125" s="609"/>
      <c r="IV1125" s="609"/>
    </row>
    <row r="1126" spans="1:256" s="642" customFormat="1" x14ac:dyDescent="0.25">
      <c r="A1126" s="634" t="s">
        <v>277</v>
      </c>
      <c r="B1126" s="634">
        <v>2439</v>
      </c>
      <c r="C1126" s="636"/>
      <c r="D1126" s="612" t="s">
        <v>1707</v>
      </c>
      <c r="E1126" s="636" t="s">
        <v>229</v>
      </c>
      <c r="F1126" s="612">
        <v>0.1</v>
      </c>
      <c r="G1126" s="681">
        <v>16.2</v>
      </c>
      <c r="H1126" s="612"/>
      <c r="I1126" s="695"/>
      <c r="J1126" s="695">
        <f>ROUND(F1126*G1126,2)</f>
        <v>1.62</v>
      </c>
      <c r="K1126" s="695"/>
      <c r="L1126" s="695"/>
      <c r="M1126" s="695"/>
      <c r="N1126" s="695"/>
      <c r="O1126" s="695"/>
      <c r="P1126" s="695"/>
      <c r="Q1126" s="609"/>
      <c r="R1126" s="609"/>
      <c r="S1126" s="609"/>
      <c r="T1126" s="609"/>
      <c r="U1126" s="609"/>
      <c r="V1126" s="609"/>
      <c r="W1126" s="609"/>
      <c r="X1126" s="609"/>
      <c r="Y1126" s="609"/>
      <c r="Z1126" s="609"/>
      <c r="AA1126" s="609"/>
      <c r="AB1126" s="609"/>
      <c r="AC1126" s="609"/>
      <c r="AD1126" s="609"/>
      <c r="AE1126" s="609"/>
      <c r="AF1126" s="609"/>
      <c r="AG1126" s="609"/>
      <c r="AH1126" s="609"/>
      <c r="AI1126" s="609"/>
      <c r="AJ1126" s="609"/>
      <c r="AK1126" s="609"/>
      <c r="AL1126" s="609"/>
      <c r="AM1126" s="609"/>
      <c r="AN1126" s="609"/>
      <c r="AO1126" s="609"/>
      <c r="AP1126" s="609"/>
      <c r="AQ1126" s="609"/>
      <c r="AR1126" s="609"/>
      <c r="AS1126" s="609"/>
      <c r="AT1126" s="609"/>
      <c r="AU1126" s="609"/>
      <c r="AV1126" s="609"/>
      <c r="AW1126" s="609"/>
      <c r="AX1126" s="609"/>
      <c r="AY1126" s="609"/>
      <c r="AZ1126" s="609"/>
      <c r="BA1126" s="609"/>
      <c r="BB1126" s="609"/>
      <c r="BC1126" s="609"/>
      <c r="BD1126" s="609"/>
      <c r="BE1126" s="609"/>
      <c r="BF1126" s="609"/>
      <c r="BG1126" s="609"/>
      <c r="BH1126" s="609"/>
      <c r="BI1126" s="609"/>
      <c r="BJ1126" s="609"/>
      <c r="BK1126" s="609"/>
      <c r="BL1126" s="609"/>
      <c r="BM1126" s="609"/>
      <c r="BN1126" s="609"/>
      <c r="BO1126" s="609"/>
      <c r="BP1126" s="609"/>
      <c r="BQ1126" s="609"/>
      <c r="BR1126" s="609"/>
      <c r="BS1126" s="609"/>
      <c r="BT1126" s="609"/>
      <c r="BU1126" s="609"/>
      <c r="BV1126" s="609"/>
      <c r="BW1126" s="609"/>
      <c r="BX1126" s="609"/>
      <c r="BY1126" s="609"/>
      <c r="BZ1126" s="609"/>
      <c r="CA1126" s="609"/>
      <c r="CB1126" s="609"/>
      <c r="CC1126" s="609"/>
      <c r="CD1126" s="609"/>
      <c r="CE1126" s="609"/>
      <c r="CF1126" s="609"/>
      <c r="CG1126" s="609"/>
      <c r="CH1126" s="609"/>
      <c r="CI1126" s="609"/>
      <c r="CJ1126" s="609"/>
      <c r="CK1126" s="609"/>
      <c r="CL1126" s="609"/>
      <c r="CM1126" s="609"/>
      <c r="CN1126" s="609"/>
      <c r="CO1126" s="609"/>
      <c r="CP1126" s="609"/>
      <c r="CQ1126" s="609"/>
      <c r="CR1126" s="609"/>
      <c r="CS1126" s="609"/>
      <c r="CT1126" s="609"/>
      <c r="CU1126" s="609"/>
      <c r="CV1126" s="609"/>
      <c r="CW1126" s="609"/>
      <c r="CX1126" s="609"/>
      <c r="CY1126" s="609"/>
      <c r="CZ1126" s="609"/>
      <c r="DA1126" s="609"/>
      <c r="DB1126" s="609"/>
      <c r="DC1126" s="609"/>
      <c r="DD1126" s="609"/>
      <c r="DE1126" s="609"/>
      <c r="DF1126" s="609"/>
      <c r="DG1126" s="609"/>
      <c r="DH1126" s="609"/>
      <c r="DI1126" s="609"/>
      <c r="DJ1126" s="609"/>
      <c r="DK1126" s="609"/>
      <c r="DL1126" s="609"/>
      <c r="DM1126" s="609"/>
      <c r="DN1126" s="609"/>
      <c r="DO1126" s="609"/>
      <c r="DP1126" s="609"/>
      <c r="DQ1126" s="609"/>
      <c r="DR1126" s="609"/>
      <c r="DS1126" s="609"/>
      <c r="DT1126" s="609"/>
      <c r="DU1126" s="609"/>
      <c r="DV1126" s="609"/>
      <c r="DW1126" s="609"/>
      <c r="DX1126" s="609"/>
      <c r="DY1126" s="609"/>
      <c r="DZ1126" s="609"/>
      <c r="EA1126" s="609"/>
      <c r="EB1126" s="609"/>
      <c r="EC1126" s="609"/>
      <c r="ED1126" s="609"/>
      <c r="EE1126" s="609"/>
      <c r="EF1126" s="609"/>
      <c r="EG1126" s="609"/>
      <c r="EH1126" s="609"/>
      <c r="EI1126" s="609"/>
      <c r="EJ1126" s="609"/>
      <c r="EK1126" s="609"/>
      <c r="EL1126" s="609"/>
      <c r="EM1126" s="609"/>
      <c r="EN1126" s="609"/>
      <c r="EO1126" s="609"/>
      <c r="EP1126" s="609"/>
      <c r="EQ1126" s="609"/>
      <c r="ER1126" s="609"/>
      <c r="ES1126" s="609"/>
      <c r="ET1126" s="609"/>
      <c r="EU1126" s="609"/>
      <c r="EV1126" s="609"/>
      <c r="EW1126" s="609"/>
      <c r="EX1126" s="609"/>
      <c r="EY1126" s="609"/>
      <c r="EZ1126" s="609"/>
      <c r="FA1126" s="609"/>
      <c r="FB1126" s="609"/>
      <c r="FC1126" s="609"/>
      <c r="FD1126" s="609"/>
      <c r="FE1126" s="609"/>
      <c r="FF1126" s="609"/>
      <c r="FG1126" s="609"/>
      <c r="FH1126" s="609"/>
      <c r="FI1126" s="609"/>
      <c r="FJ1126" s="609"/>
      <c r="FK1126" s="609"/>
      <c r="FL1126" s="609"/>
      <c r="FM1126" s="609"/>
      <c r="FN1126" s="609"/>
      <c r="FO1126" s="609"/>
      <c r="FP1126" s="609"/>
      <c r="FQ1126" s="609"/>
      <c r="FR1126" s="609"/>
      <c r="FS1126" s="609"/>
      <c r="FT1126" s="609"/>
      <c r="FU1126" s="609"/>
      <c r="FV1126" s="609"/>
      <c r="FW1126" s="609"/>
      <c r="FX1126" s="609"/>
      <c r="FY1126" s="609"/>
      <c r="FZ1126" s="609"/>
      <c r="GA1126" s="609"/>
      <c r="GB1126" s="609"/>
      <c r="GC1126" s="609"/>
      <c r="GD1126" s="609"/>
      <c r="GE1126" s="609"/>
      <c r="GF1126" s="609"/>
      <c r="GG1126" s="609"/>
      <c r="GH1126" s="609"/>
      <c r="GI1126" s="609"/>
      <c r="GJ1126" s="609"/>
      <c r="GK1126" s="609"/>
      <c r="GL1126" s="609"/>
      <c r="GM1126" s="609"/>
      <c r="GN1126" s="609"/>
      <c r="GO1126" s="609"/>
      <c r="GP1126" s="609"/>
      <c r="GQ1126" s="609"/>
      <c r="GR1126" s="609"/>
      <c r="GS1126" s="609"/>
      <c r="GT1126" s="609"/>
      <c r="GU1126" s="609"/>
      <c r="GV1126" s="609"/>
      <c r="GW1126" s="609"/>
      <c r="GX1126" s="609"/>
      <c r="GY1126" s="609"/>
      <c r="GZ1126" s="609"/>
      <c r="HA1126" s="609"/>
      <c r="HB1126" s="609"/>
      <c r="HC1126" s="609"/>
      <c r="HD1126" s="609"/>
      <c r="HE1126" s="609"/>
      <c r="HF1126" s="609"/>
      <c r="HG1126" s="609"/>
      <c r="HH1126" s="609"/>
      <c r="HI1126" s="609"/>
      <c r="HJ1126" s="609"/>
      <c r="HK1126" s="609"/>
      <c r="HL1126" s="609"/>
      <c r="HM1126" s="609"/>
      <c r="HN1126" s="609"/>
      <c r="HO1126" s="609"/>
      <c r="HP1126" s="609"/>
      <c r="HQ1126" s="609"/>
      <c r="HR1126" s="609"/>
      <c r="HS1126" s="609"/>
      <c r="HT1126" s="609"/>
      <c r="HU1126" s="609"/>
      <c r="HV1126" s="609"/>
      <c r="HW1126" s="609"/>
      <c r="HX1126" s="609"/>
      <c r="HY1126" s="609"/>
      <c r="HZ1126" s="609"/>
      <c r="IA1126" s="609"/>
      <c r="IB1126" s="609"/>
      <c r="IC1126" s="609"/>
      <c r="ID1126" s="609"/>
      <c r="IE1126" s="609"/>
      <c r="IF1126" s="609"/>
      <c r="IG1126" s="609"/>
      <c r="IH1126" s="609"/>
      <c r="II1126" s="609"/>
      <c r="IJ1126" s="609"/>
      <c r="IK1126" s="609"/>
      <c r="IL1126" s="609"/>
      <c r="IM1126" s="609"/>
      <c r="IN1126" s="609"/>
      <c r="IO1126" s="609"/>
      <c r="IP1126" s="609"/>
      <c r="IQ1126" s="609"/>
      <c r="IR1126" s="609"/>
      <c r="IS1126" s="609"/>
      <c r="IT1126" s="609"/>
      <c r="IU1126" s="609"/>
      <c r="IV1126" s="609"/>
    </row>
    <row r="1127" spans="1:256" s="642" customFormat="1" x14ac:dyDescent="0.25">
      <c r="A1127" s="634" t="s">
        <v>277</v>
      </c>
      <c r="B1127" s="634">
        <v>247</v>
      </c>
      <c r="C1127" s="636"/>
      <c r="D1127" s="635" t="s">
        <v>1070</v>
      </c>
      <c r="E1127" s="636" t="s">
        <v>229</v>
      </c>
      <c r="F1127" s="612">
        <v>0.1</v>
      </c>
      <c r="G1127" s="681">
        <v>9.65</v>
      </c>
      <c r="H1127" s="612"/>
      <c r="I1127" s="695"/>
      <c r="J1127" s="695">
        <f>ROUND(F1127*G1127,2)</f>
        <v>0.97</v>
      </c>
      <c r="K1127" s="695"/>
      <c r="L1127" s="695"/>
      <c r="M1127" s="695"/>
      <c r="N1127" s="695"/>
      <c r="O1127" s="695"/>
      <c r="P1127" s="695"/>
      <c r="Q1127" s="609"/>
      <c r="R1127" s="609"/>
      <c r="S1127" s="609"/>
      <c r="T1127" s="609"/>
      <c r="U1127" s="609"/>
      <c r="V1127" s="609"/>
      <c r="W1127" s="609"/>
      <c r="X1127" s="609"/>
      <c r="Y1127" s="609"/>
      <c r="Z1127" s="609"/>
      <c r="AA1127" s="609"/>
      <c r="AB1127" s="609"/>
      <c r="AC1127" s="609"/>
      <c r="AD1127" s="609"/>
      <c r="AE1127" s="609"/>
      <c r="AF1127" s="609"/>
      <c r="AG1127" s="609"/>
      <c r="AH1127" s="609"/>
      <c r="AI1127" s="609"/>
      <c r="AJ1127" s="609"/>
      <c r="AK1127" s="609"/>
      <c r="AL1127" s="609"/>
      <c r="AM1127" s="609"/>
      <c r="AN1127" s="609"/>
      <c r="AO1127" s="609"/>
      <c r="AP1127" s="609"/>
      <c r="AQ1127" s="609"/>
      <c r="AR1127" s="609"/>
      <c r="AS1127" s="609"/>
      <c r="AT1127" s="609"/>
      <c r="AU1127" s="609"/>
      <c r="AV1127" s="609"/>
      <c r="AW1127" s="609"/>
      <c r="AX1127" s="609"/>
      <c r="AY1127" s="609"/>
      <c r="AZ1127" s="609"/>
      <c r="BA1127" s="609"/>
      <c r="BB1127" s="609"/>
      <c r="BC1127" s="609"/>
      <c r="BD1127" s="609"/>
      <c r="BE1127" s="609"/>
      <c r="BF1127" s="609"/>
      <c r="BG1127" s="609"/>
      <c r="BH1127" s="609"/>
      <c r="BI1127" s="609"/>
      <c r="BJ1127" s="609"/>
      <c r="BK1127" s="609"/>
      <c r="BL1127" s="609"/>
      <c r="BM1127" s="609"/>
      <c r="BN1127" s="609"/>
      <c r="BO1127" s="609"/>
      <c r="BP1127" s="609"/>
      <c r="BQ1127" s="609"/>
      <c r="BR1127" s="609"/>
      <c r="BS1127" s="609"/>
      <c r="BT1127" s="609"/>
      <c r="BU1127" s="609"/>
      <c r="BV1127" s="609"/>
      <c r="BW1127" s="609"/>
      <c r="BX1127" s="609"/>
      <c r="BY1127" s="609"/>
      <c r="BZ1127" s="609"/>
      <c r="CA1127" s="609"/>
      <c r="CB1127" s="609"/>
      <c r="CC1127" s="609"/>
      <c r="CD1127" s="609"/>
      <c r="CE1127" s="609"/>
      <c r="CF1127" s="609"/>
      <c r="CG1127" s="609"/>
      <c r="CH1127" s="609"/>
      <c r="CI1127" s="609"/>
      <c r="CJ1127" s="609"/>
      <c r="CK1127" s="609"/>
      <c r="CL1127" s="609"/>
      <c r="CM1127" s="609"/>
      <c r="CN1127" s="609"/>
      <c r="CO1127" s="609"/>
      <c r="CP1127" s="609"/>
      <c r="CQ1127" s="609"/>
      <c r="CR1127" s="609"/>
      <c r="CS1127" s="609"/>
      <c r="CT1127" s="609"/>
      <c r="CU1127" s="609"/>
      <c r="CV1127" s="609"/>
      <c r="CW1127" s="609"/>
      <c r="CX1127" s="609"/>
      <c r="CY1127" s="609"/>
      <c r="CZ1127" s="609"/>
      <c r="DA1127" s="609"/>
      <c r="DB1127" s="609"/>
      <c r="DC1127" s="609"/>
      <c r="DD1127" s="609"/>
      <c r="DE1127" s="609"/>
      <c r="DF1127" s="609"/>
      <c r="DG1127" s="609"/>
      <c r="DH1127" s="609"/>
      <c r="DI1127" s="609"/>
      <c r="DJ1127" s="609"/>
      <c r="DK1127" s="609"/>
      <c r="DL1127" s="609"/>
      <c r="DM1127" s="609"/>
      <c r="DN1127" s="609"/>
      <c r="DO1127" s="609"/>
      <c r="DP1127" s="609"/>
      <c r="DQ1127" s="609"/>
      <c r="DR1127" s="609"/>
      <c r="DS1127" s="609"/>
      <c r="DT1127" s="609"/>
      <c r="DU1127" s="609"/>
      <c r="DV1127" s="609"/>
      <c r="DW1127" s="609"/>
      <c r="DX1127" s="609"/>
      <c r="DY1127" s="609"/>
      <c r="DZ1127" s="609"/>
      <c r="EA1127" s="609"/>
      <c r="EB1127" s="609"/>
      <c r="EC1127" s="609"/>
      <c r="ED1127" s="609"/>
      <c r="EE1127" s="609"/>
      <c r="EF1127" s="609"/>
      <c r="EG1127" s="609"/>
      <c r="EH1127" s="609"/>
      <c r="EI1127" s="609"/>
      <c r="EJ1127" s="609"/>
      <c r="EK1127" s="609"/>
      <c r="EL1127" s="609"/>
      <c r="EM1127" s="609"/>
      <c r="EN1127" s="609"/>
      <c r="EO1127" s="609"/>
      <c r="EP1127" s="609"/>
      <c r="EQ1127" s="609"/>
      <c r="ER1127" s="609"/>
      <c r="ES1127" s="609"/>
      <c r="ET1127" s="609"/>
      <c r="EU1127" s="609"/>
      <c r="EV1127" s="609"/>
      <c r="EW1127" s="609"/>
      <c r="EX1127" s="609"/>
      <c r="EY1127" s="609"/>
      <c r="EZ1127" s="609"/>
      <c r="FA1127" s="609"/>
      <c r="FB1127" s="609"/>
      <c r="FC1127" s="609"/>
      <c r="FD1127" s="609"/>
      <c r="FE1127" s="609"/>
      <c r="FF1127" s="609"/>
      <c r="FG1127" s="609"/>
      <c r="FH1127" s="609"/>
      <c r="FI1127" s="609"/>
      <c r="FJ1127" s="609"/>
      <c r="FK1127" s="609"/>
      <c r="FL1127" s="609"/>
      <c r="FM1127" s="609"/>
      <c r="FN1127" s="609"/>
      <c r="FO1127" s="609"/>
      <c r="FP1127" s="609"/>
      <c r="FQ1127" s="609"/>
      <c r="FR1127" s="609"/>
      <c r="FS1127" s="609"/>
      <c r="FT1127" s="609"/>
      <c r="FU1127" s="609"/>
      <c r="FV1127" s="609"/>
      <c r="FW1127" s="609"/>
      <c r="FX1127" s="609"/>
      <c r="FY1127" s="609"/>
      <c r="FZ1127" s="609"/>
      <c r="GA1127" s="609"/>
      <c r="GB1127" s="609"/>
      <c r="GC1127" s="609"/>
      <c r="GD1127" s="609"/>
      <c r="GE1127" s="609"/>
      <c r="GF1127" s="609"/>
      <c r="GG1127" s="609"/>
      <c r="GH1127" s="609"/>
      <c r="GI1127" s="609"/>
      <c r="GJ1127" s="609"/>
      <c r="GK1127" s="609"/>
      <c r="GL1127" s="609"/>
      <c r="GM1127" s="609"/>
      <c r="GN1127" s="609"/>
      <c r="GO1127" s="609"/>
      <c r="GP1127" s="609"/>
      <c r="GQ1127" s="609"/>
      <c r="GR1127" s="609"/>
      <c r="GS1127" s="609"/>
      <c r="GT1127" s="609"/>
      <c r="GU1127" s="609"/>
      <c r="GV1127" s="609"/>
      <c r="GW1127" s="609"/>
      <c r="GX1127" s="609"/>
      <c r="GY1127" s="609"/>
      <c r="GZ1127" s="609"/>
      <c r="HA1127" s="609"/>
      <c r="HB1127" s="609"/>
      <c r="HC1127" s="609"/>
      <c r="HD1127" s="609"/>
      <c r="HE1127" s="609"/>
      <c r="HF1127" s="609"/>
      <c r="HG1127" s="609"/>
      <c r="HH1127" s="609"/>
      <c r="HI1127" s="609"/>
      <c r="HJ1127" s="609"/>
      <c r="HK1127" s="609"/>
      <c r="HL1127" s="609"/>
      <c r="HM1127" s="609"/>
      <c r="HN1127" s="609"/>
      <c r="HO1127" s="609"/>
      <c r="HP1127" s="609"/>
      <c r="HQ1127" s="609"/>
      <c r="HR1127" s="609"/>
      <c r="HS1127" s="609"/>
      <c r="HT1127" s="609"/>
      <c r="HU1127" s="609"/>
      <c r="HV1127" s="609"/>
      <c r="HW1127" s="609"/>
      <c r="HX1127" s="609"/>
      <c r="HY1127" s="609"/>
      <c r="HZ1127" s="609"/>
      <c r="IA1127" s="609"/>
      <c r="IB1127" s="609"/>
      <c r="IC1127" s="609"/>
      <c r="ID1127" s="609"/>
      <c r="IE1127" s="609"/>
      <c r="IF1127" s="609"/>
      <c r="IG1127" s="609"/>
      <c r="IH1127" s="609"/>
      <c r="II1127" s="609"/>
      <c r="IJ1127" s="609"/>
      <c r="IK1127" s="609"/>
      <c r="IL1127" s="609"/>
      <c r="IM1127" s="609"/>
      <c r="IN1127" s="609"/>
      <c r="IO1127" s="609"/>
      <c r="IP1127" s="609"/>
      <c r="IQ1127" s="609"/>
      <c r="IR1127" s="609"/>
      <c r="IS1127" s="609"/>
      <c r="IT1127" s="609"/>
      <c r="IU1127" s="609"/>
      <c r="IV1127" s="609"/>
    </row>
    <row r="1128" spans="1:256" s="642" customFormat="1" ht="24" x14ac:dyDescent="0.25">
      <c r="A1128" s="675"/>
      <c r="B1128" s="675"/>
      <c r="C1128" s="675" t="s">
        <v>1811</v>
      </c>
      <c r="D1128" s="620" t="s">
        <v>1812</v>
      </c>
      <c r="E1128" s="675" t="s">
        <v>251</v>
      </c>
      <c r="F1128" s="620"/>
      <c r="G1128" s="622"/>
      <c r="H1128" s="620">
        <v>1</v>
      </c>
      <c r="I1128" s="677">
        <f>SUM(I1129:I1131)</f>
        <v>599</v>
      </c>
      <c r="J1128" s="677">
        <f>SUM(J1129:J1131)</f>
        <v>25.85</v>
      </c>
      <c r="K1128" s="665">
        <f>I1128+J1128</f>
        <v>624.85</v>
      </c>
      <c r="L1128" s="622">
        <f>H1128*I1128</f>
        <v>599</v>
      </c>
      <c r="M1128" s="622">
        <f>H1128*J1128</f>
        <v>25.85</v>
      </c>
      <c r="N1128" s="622">
        <f>L1128+M1128</f>
        <v>624.85</v>
      </c>
      <c r="O1128" s="622">
        <f>N1128*$P$4</f>
        <v>153.46316000000002</v>
      </c>
      <c r="P1128" s="622">
        <f>N1128+O1128</f>
        <v>778.31316000000004</v>
      </c>
      <c r="Q1128" s="609"/>
      <c r="R1128" s="609"/>
      <c r="S1128" s="609"/>
      <c r="T1128" s="609"/>
      <c r="U1128" s="609"/>
      <c r="V1128" s="609"/>
      <c r="W1128" s="609"/>
      <c r="X1128" s="609"/>
      <c r="Y1128" s="609"/>
      <c r="Z1128" s="609"/>
      <c r="AA1128" s="609"/>
      <c r="AB1128" s="609"/>
      <c r="AC1128" s="609"/>
      <c r="AD1128" s="609"/>
      <c r="AE1128" s="609"/>
      <c r="AF1128" s="609"/>
      <c r="AG1128" s="609"/>
      <c r="AH1128" s="609"/>
      <c r="AI1128" s="609"/>
      <c r="AJ1128" s="609"/>
      <c r="AK1128" s="609"/>
      <c r="AL1128" s="609"/>
      <c r="AM1128" s="609"/>
      <c r="AN1128" s="609"/>
      <c r="AO1128" s="609"/>
      <c r="AP1128" s="609"/>
      <c r="AQ1128" s="609"/>
      <c r="AR1128" s="609"/>
      <c r="AS1128" s="609"/>
      <c r="AT1128" s="609"/>
      <c r="AU1128" s="609"/>
      <c r="AV1128" s="609"/>
      <c r="AW1128" s="609"/>
      <c r="AX1128" s="609"/>
      <c r="AY1128" s="609"/>
      <c r="AZ1128" s="609"/>
      <c r="BA1128" s="609"/>
      <c r="BB1128" s="609"/>
      <c r="BC1128" s="609"/>
      <c r="BD1128" s="609"/>
      <c r="BE1128" s="609"/>
      <c r="BF1128" s="609"/>
      <c r="BG1128" s="609"/>
      <c r="BH1128" s="609"/>
      <c r="BI1128" s="609"/>
      <c r="BJ1128" s="609"/>
      <c r="BK1128" s="609"/>
      <c r="BL1128" s="609"/>
      <c r="BM1128" s="609"/>
      <c r="BN1128" s="609"/>
      <c r="BO1128" s="609"/>
      <c r="BP1128" s="609"/>
      <c r="BQ1128" s="609"/>
      <c r="BR1128" s="609"/>
      <c r="BS1128" s="609"/>
      <c r="BT1128" s="609"/>
      <c r="BU1128" s="609"/>
      <c r="BV1128" s="609"/>
      <c r="BW1128" s="609"/>
      <c r="BX1128" s="609"/>
      <c r="BY1128" s="609"/>
      <c r="BZ1128" s="609"/>
      <c r="CA1128" s="609"/>
      <c r="CB1128" s="609"/>
      <c r="CC1128" s="609"/>
      <c r="CD1128" s="609"/>
      <c r="CE1128" s="609"/>
      <c r="CF1128" s="609"/>
      <c r="CG1128" s="609"/>
      <c r="CH1128" s="609"/>
      <c r="CI1128" s="609"/>
      <c r="CJ1128" s="609"/>
      <c r="CK1128" s="609"/>
      <c r="CL1128" s="609"/>
      <c r="CM1128" s="609"/>
      <c r="CN1128" s="609"/>
      <c r="CO1128" s="609"/>
      <c r="CP1128" s="609"/>
      <c r="CQ1128" s="609"/>
      <c r="CR1128" s="609"/>
      <c r="CS1128" s="609"/>
      <c r="CT1128" s="609"/>
      <c r="CU1128" s="609"/>
      <c r="CV1128" s="609"/>
      <c r="CW1128" s="609"/>
      <c r="CX1128" s="609"/>
      <c r="CY1128" s="609"/>
      <c r="CZ1128" s="609"/>
      <c r="DA1128" s="609"/>
      <c r="DB1128" s="609"/>
      <c r="DC1128" s="609"/>
      <c r="DD1128" s="609"/>
      <c r="DE1128" s="609"/>
      <c r="DF1128" s="609"/>
      <c r="DG1128" s="609"/>
      <c r="DH1128" s="609"/>
      <c r="DI1128" s="609"/>
      <c r="DJ1128" s="609"/>
      <c r="DK1128" s="609"/>
      <c r="DL1128" s="609"/>
      <c r="DM1128" s="609"/>
      <c r="DN1128" s="609"/>
      <c r="DO1128" s="609"/>
      <c r="DP1128" s="609"/>
      <c r="DQ1128" s="609"/>
      <c r="DR1128" s="609"/>
      <c r="DS1128" s="609"/>
      <c r="DT1128" s="609"/>
      <c r="DU1128" s="609"/>
      <c r="DV1128" s="609"/>
      <c r="DW1128" s="609"/>
      <c r="DX1128" s="609"/>
      <c r="DY1128" s="609"/>
      <c r="DZ1128" s="609"/>
      <c r="EA1128" s="609"/>
      <c r="EB1128" s="609"/>
      <c r="EC1128" s="609"/>
      <c r="ED1128" s="609"/>
      <c r="EE1128" s="609"/>
      <c r="EF1128" s="609"/>
      <c r="EG1128" s="609"/>
      <c r="EH1128" s="609"/>
      <c r="EI1128" s="609"/>
      <c r="EJ1128" s="609"/>
      <c r="EK1128" s="609"/>
      <c r="EL1128" s="609"/>
      <c r="EM1128" s="609"/>
      <c r="EN1128" s="609"/>
      <c r="EO1128" s="609"/>
      <c r="EP1128" s="609"/>
      <c r="EQ1128" s="609"/>
      <c r="ER1128" s="609"/>
      <c r="ES1128" s="609"/>
      <c r="ET1128" s="609"/>
      <c r="EU1128" s="609"/>
      <c r="EV1128" s="609"/>
      <c r="EW1128" s="609"/>
      <c r="EX1128" s="609"/>
      <c r="EY1128" s="609"/>
      <c r="EZ1128" s="609"/>
      <c r="FA1128" s="609"/>
      <c r="FB1128" s="609"/>
      <c r="FC1128" s="609"/>
      <c r="FD1128" s="609"/>
      <c r="FE1128" s="609"/>
      <c r="FF1128" s="609"/>
      <c r="FG1128" s="609"/>
      <c r="FH1128" s="609"/>
      <c r="FI1128" s="609"/>
      <c r="FJ1128" s="609"/>
      <c r="FK1128" s="609"/>
      <c r="FL1128" s="609"/>
      <c r="FM1128" s="609"/>
      <c r="FN1128" s="609"/>
      <c r="FO1128" s="609"/>
      <c r="FP1128" s="609"/>
      <c r="FQ1128" s="609"/>
      <c r="FR1128" s="609"/>
      <c r="FS1128" s="609"/>
      <c r="FT1128" s="609"/>
      <c r="FU1128" s="609"/>
      <c r="FV1128" s="609"/>
      <c r="FW1128" s="609"/>
      <c r="FX1128" s="609"/>
      <c r="FY1128" s="609"/>
      <c r="FZ1128" s="609"/>
      <c r="GA1128" s="609"/>
      <c r="GB1128" s="609"/>
      <c r="GC1128" s="609"/>
      <c r="GD1128" s="609"/>
      <c r="GE1128" s="609"/>
      <c r="GF1128" s="609"/>
      <c r="GG1128" s="609"/>
      <c r="GH1128" s="609"/>
      <c r="GI1128" s="609"/>
      <c r="GJ1128" s="609"/>
      <c r="GK1128" s="609"/>
      <c r="GL1128" s="609"/>
      <c r="GM1128" s="609"/>
      <c r="GN1128" s="609"/>
      <c r="GO1128" s="609"/>
      <c r="GP1128" s="609"/>
      <c r="GQ1128" s="609"/>
      <c r="GR1128" s="609"/>
      <c r="GS1128" s="609"/>
      <c r="GT1128" s="609"/>
      <c r="GU1128" s="609"/>
      <c r="GV1128" s="609"/>
      <c r="GW1128" s="609"/>
      <c r="GX1128" s="609"/>
      <c r="GY1128" s="609"/>
      <c r="GZ1128" s="609"/>
      <c r="HA1128" s="609"/>
      <c r="HB1128" s="609"/>
      <c r="HC1128" s="609"/>
      <c r="HD1128" s="609"/>
      <c r="HE1128" s="609"/>
      <c r="HF1128" s="609"/>
      <c r="HG1128" s="609"/>
      <c r="HH1128" s="609"/>
      <c r="HI1128" s="609"/>
      <c r="HJ1128" s="609"/>
      <c r="HK1128" s="609"/>
      <c r="HL1128" s="609"/>
      <c r="HM1128" s="609"/>
      <c r="HN1128" s="609"/>
      <c r="HO1128" s="609"/>
      <c r="HP1128" s="609"/>
      <c r="HQ1128" s="609"/>
      <c r="HR1128" s="609"/>
      <c r="HS1128" s="609"/>
      <c r="HT1128" s="609"/>
      <c r="HU1128" s="609"/>
      <c r="HV1128" s="609"/>
      <c r="HW1128" s="609"/>
      <c r="HX1128" s="609"/>
      <c r="HY1128" s="609"/>
      <c r="HZ1128" s="609"/>
      <c r="IA1128" s="609"/>
      <c r="IB1128" s="609"/>
      <c r="IC1128" s="609"/>
      <c r="ID1128" s="609"/>
      <c r="IE1128" s="609"/>
      <c r="IF1128" s="609"/>
      <c r="IG1128" s="609"/>
      <c r="IH1128" s="609"/>
      <c r="II1128" s="609"/>
      <c r="IJ1128" s="609"/>
      <c r="IK1128" s="609"/>
      <c r="IL1128" s="609"/>
      <c r="IM1128" s="609"/>
      <c r="IN1128" s="609"/>
      <c r="IO1128" s="609"/>
      <c r="IP1128" s="609"/>
      <c r="IQ1128" s="609"/>
      <c r="IR1128" s="609"/>
      <c r="IS1128" s="609"/>
      <c r="IT1128" s="609"/>
      <c r="IU1128" s="609"/>
      <c r="IV1128" s="609"/>
    </row>
    <row r="1129" spans="1:256" s="642" customFormat="1" ht="24" x14ac:dyDescent="0.25">
      <c r="A1129" s="634" t="s">
        <v>1705</v>
      </c>
      <c r="B1129" s="679"/>
      <c r="C1129" s="636"/>
      <c r="D1129" s="726" t="s">
        <v>1812</v>
      </c>
      <c r="E1129" s="636" t="s">
        <v>251</v>
      </c>
      <c r="F1129" s="612">
        <v>1</v>
      </c>
      <c r="G1129" s="681">
        <v>599</v>
      </c>
      <c r="H1129" s="612"/>
      <c r="I1129" s="695">
        <f>ROUND(F1129*G1129,2)</f>
        <v>599</v>
      </c>
      <c r="J1129" s="695" t="s">
        <v>1207</v>
      </c>
      <c r="K1129" s="695"/>
      <c r="L1129" s="695"/>
      <c r="M1129" s="695"/>
      <c r="N1129" s="695"/>
      <c r="O1129" s="695"/>
      <c r="P1129" s="695"/>
      <c r="Q1129" s="609"/>
      <c r="R1129" s="609"/>
      <c r="S1129" s="609"/>
      <c r="T1129" s="609"/>
      <c r="U1129" s="609"/>
      <c r="V1129" s="609"/>
      <c r="W1129" s="609"/>
      <c r="X1129" s="609"/>
      <c r="Y1129" s="609"/>
      <c r="Z1129" s="609"/>
      <c r="AA1129" s="609"/>
      <c r="AB1129" s="609"/>
      <c r="AC1129" s="609"/>
      <c r="AD1129" s="609"/>
      <c r="AE1129" s="609"/>
      <c r="AF1129" s="609"/>
      <c r="AG1129" s="609"/>
      <c r="AH1129" s="609"/>
      <c r="AI1129" s="609"/>
      <c r="AJ1129" s="609"/>
      <c r="AK1129" s="609"/>
      <c r="AL1129" s="609"/>
      <c r="AM1129" s="609"/>
      <c r="AN1129" s="609"/>
      <c r="AO1129" s="609"/>
      <c r="AP1129" s="609"/>
      <c r="AQ1129" s="609"/>
      <c r="AR1129" s="609"/>
      <c r="AS1129" s="609"/>
      <c r="AT1129" s="609"/>
      <c r="AU1129" s="609"/>
      <c r="AV1129" s="609"/>
      <c r="AW1129" s="609"/>
      <c r="AX1129" s="609"/>
      <c r="AY1129" s="609"/>
      <c r="AZ1129" s="609"/>
      <c r="BA1129" s="609"/>
      <c r="BB1129" s="609"/>
      <c r="BC1129" s="609"/>
      <c r="BD1129" s="609"/>
      <c r="BE1129" s="609"/>
      <c r="BF1129" s="609"/>
      <c r="BG1129" s="609"/>
      <c r="BH1129" s="609"/>
      <c r="BI1129" s="609"/>
      <c r="BJ1129" s="609"/>
      <c r="BK1129" s="609"/>
      <c r="BL1129" s="609"/>
      <c r="BM1129" s="609"/>
      <c r="BN1129" s="609"/>
      <c r="BO1129" s="609"/>
      <c r="BP1129" s="609"/>
      <c r="BQ1129" s="609"/>
      <c r="BR1129" s="609"/>
      <c r="BS1129" s="609"/>
      <c r="BT1129" s="609"/>
      <c r="BU1129" s="609"/>
      <c r="BV1129" s="609"/>
      <c r="BW1129" s="609"/>
      <c r="BX1129" s="609"/>
      <c r="BY1129" s="609"/>
      <c r="BZ1129" s="609"/>
      <c r="CA1129" s="609"/>
      <c r="CB1129" s="609"/>
      <c r="CC1129" s="609"/>
      <c r="CD1129" s="609"/>
      <c r="CE1129" s="609"/>
      <c r="CF1129" s="609"/>
      <c r="CG1129" s="609"/>
      <c r="CH1129" s="609"/>
      <c r="CI1129" s="609"/>
      <c r="CJ1129" s="609"/>
      <c r="CK1129" s="609"/>
      <c r="CL1129" s="609"/>
      <c r="CM1129" s="609"/>
      <c r="CN1129" s="609"/>
      <c r="CO1129" s="609"/>
      <c r="CP1129" s="609"/>
      <c r="CQ1129" s="609"/>
      <c r="CR1129" s="609"/>
      <c r="CS1129" s="609"/>
      <c r="CT1129" s="609"/>
      <c r="CU1129" s="609"/>
      <c r="CV1129" s="609"/>
      <c r="CW1129" s="609"/>
      <c r="CX1129" s="609"/>
      <c r="CY1129" s="609"/>
      <c r="CZ1129" s="609"/>
      <c r="DA1129" s="609"/>
      <c r="DB1129" s="609"/>
      <c r="DC1129" s="609"/>
      <c r="DD1129" s="609"/>
      <c r="DE1129" s="609"/>
      <c r="DF1129" s="609"/>
      <c r="DG1129" s="609"/>
      <c r="DH1129" s="609"/>
      <c r="DI1129" s="609"/>
      <c r="DJ1129" s="609"/>
      <c r="DK1129" s="609"/>
      <c r="DL1129" s="609"/>
      <c r="DM1129" s="609"/>
      <c r="DN1129" s="609"/>
      <c r="DO1129" s="609"/>
      <c r="DP1129" s="609"/>
      <c r="DQ1129" s="609"/>
      <c r="DR1129" s="609"/>
      <c r="DS1129" s="609"/>
      <c r="DT1129" s="609"/>
      <c r="DU1129" s="609"/>
      <c r="DV1129" s="609"/>
      <c r="DW1129" s="609"/>
      <c r="DX1129" s="609"/>
      <c r="DY1129" s="609"/>
      <c r="DZ1129" s="609"/>
      <c r="EA1129" s="609"/>
      <c r="EB1129" s="609"/>
      <c r="EC1129" s="609"/>
      <c r="ED1129" s="609"/>
      <c r="EE1129" s="609"/>
      <c r="EF1129" s="609"/>
      <c r="EG1129" s="609"/>
      <c r="EH1129" s="609"/>
      <c r="EI1129" s="609"/>
      <c r="EJ1129" s="609"/>
      <c r="EK1129" s="609"/>
      <c r="EL1129" s="609"/>
      <c r="EM1129" s="609"/>
      <c r="EN1129" s="609"/>
      <c r="EO1129" s="609"/>
      <c r="EP1129" s="609"/>
      <c r="EQ1129" s="609"/>
      <c r="ER1129" s="609"/>
      <c r="ES1129" s="609"/>
      <c r="ET1129" s="609"/>
      <c r="EU1129" s="609"/>
      <c r="EV1129" s="609"/>
      <c r="EW1129" s="609"/>
      <c r="EX1129" s="609"/>
      <c r="EY1129" s="609"/>
      <c r="EZ1129" s="609"/>
      <c r="FA1129" s="609"/>
      <c r="FB1129" s="609"/>
      <c r="FC1129" s="609"/>
      <c r="FD1129" s="609"/>
      <c r="FE1129" s="609"/>
      <c r="FF1129" s="609"/>
      <c r="FG1129" s="609"/>
      <c r="FH1129" s="609"/>
      <c r="FI1129" s="609"/>
      <c r="FJ1129" s="609"/>
      <c r="FK1129" s="609"/>
      <c r="FL1129" s="609"/>
      <c r="FM1129" s="609"/>
      <c r="FN1129" s="609"/>
      <c r="FO1129" s="609"/>
      <c r="FP1129" s="609"/>
      <c r="FQ1129" s="609"/>
      <c r="FR1129" s="609"/>
      <c r="FS1129" s="609"/>
      <c r="FT1129" s="609"/>
      <c r="FU1129" s="609"/>
      <c r="FV1129" s="609"/>
      <c r="FW1129" s="609"/>
      <c r="FX1129" s="609"/>
      <c r="FY1129" s="609"/>
      <c r="FZ1129" s="609"/>
      <c r="GA1129" s="609"/>
      <c r="GB1129" s="609"/>
      <c r="GC1129" s="609"/>
      <c r="GD1129" s="609"/>
      <c r="GE1129" s="609"/>
      <c r="GF1129" s="609"/>
      <c r="GG1129" s="609"/>
      <c r="GH1129" s="609"/>
      <c r="GI1129" s="609"/>
      <c r="GJ1129" s="609"/>
      <c r="GK1129" s="609"/>
      <c r="GL1129" s="609"/>
      <c r="GM1129" s="609"/>
      <c r="GN1129" s="609"/>
      <c r="GO1129" s="609"/>
      <c r="GP1129" s="609"/>
      <c r="GQ1129" s="609"/>
      <c r="GR1129" s="609"/>
      <c r="GS1129" s="609"/>
      <c r="GT1129" s="609"/>
      <c r="GU1129" s="609"/>
      <c r="GV1129" s="609"/>
      <c r="GW1129" s="609"/>
      <c r="GX1129" s="609"/>
      <c r="GY1129" s="609"/>
      <c r="GZ1129" s="609"/>
      <c r="HA1129" s="609"/>
      <c r="HB1129" s="609"/>
      <c r="HC1129" s="609"/>
      <c r="HD1129" s="609"/>
      <c r="HE1129" s="609"/>
      <c r="HF1129" s="609"/>
      <c r="HG1129" s="609"/>
      <c r="HH1129" s="609"/>
      <c r="HI1129" s="609"/>
      <c r="HJ1129" s="609"/>
      <c r="HK1129" s="609"/>
      <c r="HL1129" s="609"/>
      <c r="HM1129" s="609"/>
      <c r="HN1129" s="609"/>
      <c r="HO1129" s="609"/>
      <c r="HP1129" s="609"/>
      <c r="HQ1129" s="609"/>
      <c r="HR1129" s="609"/>
      <c r="HS1129" s="609"/>
      <c r="HT1129" s="609"/>
      <c r="HU1129" s="609"/>
      <c r="HV1129" s="609"/>
      <c r="HW1129" s="609"/>
      <c r="HX1129" s="609"/>
      <c r="HY1129" s="609"/>
      <c r="HZ1129" s="609"/>
      <c r="IA1129" s="609"/>
      <c r="IB1129" s="609"/>
      <c r="IC1129" s="609"/>
      <c r="ID1129" s="609"/>
      <c r="IE1129" s="609"/>
      <c r="IF1129" s="609"/>
      <c r="IG1129" s="609"/>
      <c r="IH1129" s="609"/>
      <c r="II1129" s="609"/>
      <c r="IJ1129" s="609"/>
      <c r="IK1129" s="609"/>
      <c r="IL1129" s="609"/>
      <c r="IM1129" s="609"/>
      <c r="IN1129" s="609"/>
      <c r="IO1129" s="609"/>
      <c r="IP1129" s="609"/>
      <c r="IQ1129" s="609"/>
      <c r="IR1129" s="609"/>
      <c r="IS1129" s="609"/>
      <c r="IT1129" s="609"/>
      <c r="IU1129" s="609"/>
      <c r="IV1129" s="609"/>
    </row>
    <row r="1130" spans="1:256" s="642" customFormat="1" x14ac:dyDescent="0.25">
      <c r="A1130" s="634" t="s">
        <v>277</v>
      </c>
      <c r="B1130" s="634">
        <v>2439</v>
      </c>
      <c r="C1130" s="636"/>
      <c r="D1130" s="612" t="s">
        <v>1707</v>
      </c>
      <c r="E1130" s="636" t="s">
        <v>229</v>
      </c>
      <c r="F1130" s="612">
        <v>1</v>
      </c>
      <c r="G1130" s="681">
        <v>16.2</v>
      </c>
      <c r="H1130" s="612"/>
      <c r="I1130" s="695"/>
      <c r="J1130" s="695">
        <f>ROUND(F1130*G1130,2)</f>
        <v>16.2</v>
      </c>
      <c r="K1130" s="695"/>
      <c r="L1130" s="695"/>
      <c r="M1130" s="695"/>
      <c r="N1130" s="695"/>
      <c r="O1130" s="695"/>
      <c r="P1130" s="695"/>
      <c r="Q1130" s="609"/>
      <c r="R1130" s="609"/>
      <c r="S1130" s="609"/>
      <c r="T1130" s="609"/>
      <c r="U1130" s="609"/>
      <c r="V1130" s="609"/>
      <c r="W1130" s="609"/>
      <c r="X1130" s="609"/>
      <c r="Y1130" s="609"/>
      <c r="Z1130" s="609"/>
      <c r="AA1130" s="609"/>
      <c r="AB1130" s="609"/>
      <c r="AC1130" s="609"/>
      <c r="AD1130" s="609"/>
      <c r="AE1130" s="609"/>
      <c r="AF1130" s="609"/>
      <c r="AG1130" s="609"/>
      <c r="AH1130" s="609"/>
      <c r="AI1130" s="609"/>
      <c r="AJ1130" s="609"/>
      <c r="AK1130" s="609"/>
      <c r="AL1130" s="609"/>
      <c r="AM1130" s="609"/>
      <c r="AN1130" s="609"/>
      <c r="AO1130" s="609"/>
      <c r="AP1130" s="609"/>
      <c r="AQ1130" s="609"/>
      <c r="AR1130" s="609"/>
      <c r="AS1130" s="609"/>
      <c r="AT1130" s="609"/>
      <c r="AU1130" s="609"/>
      <c r="AV1130" s="609"/>
      <c r="AW1130" s="609"/>
      <c r="AX1130" s="609"/>
      <c r="AY1130" s="609"/>
      <c r="AZ1130" s="609"/>
      <c r="BA1130" s="609"/>
      <c r="BB1130" s="609"/>
      <c r="BC1130" s="609"/>
      <c r="BD1130" s="609"/>
      <c r="BE1130" s="609"/>
      <c r="BF1130" s="609"/>
      <c r="BG1130" s="609"/>
      <c r="BH1130" s="609"/>
      <c r="BI1130" s="609"/>
      <c r="BJ1130" s="609"/>
      <c r="BK1130" s="609"/>
      <c r="BL1130" s="609"/>
      <c r="BM1130" s="609"/>
      <c r="BN1130" s="609"/>
      <c r="BO1130" s="609"/>
      <c r="BP1130" s="609"/>
      <c r="BQ1130" s="609"/>
      <c r="BR1130" s="609"/>
      <c r="BS1130" s="609"/>
      <c r="BT1130" s="609"/>
      <c r="BU1130" s="609"/>
      <c r="BV1130" s="609"/>
      <c r="BW1130" s="609"/>
      <c r="BX1130" s="609"/>
      <c r="BY1130" s="609"/>
      <c r="BZ1130" s="609"/>
      <c r="CA1130" s="609"/>
      <c r="CB1130" s="609"/>
      <c r="CC1130" s="609"/>
      <c r="CD1130" s="609"/>
      <c r="CE1130" s="609"/>
      <c r="CF1130" s="609"/>
      <c r="CG1130" s="609"/>
      <c r="CH1130" s="609"/>
      <c r="CI1130" s="609"/>
      <c r="CJ1130" s="609"/>
      <c r="CK1130" s="609"/>
      <c r="CL1130" s="609"/>
      <c r="CM1130" s="609"/>
      <c r="CN1130" s="609"/>
      <c r="CO1130" s="609"/>
      <c r="CP1130" s="609"/>
      <c r="CQ1130" s="609"/>
      <c r="CR1130" s="609"/>
      <c r="CS1130" s="609"/>
      <c r="CT1130" s="609"/>
      <c r="CU1130" s="609"/>
      <c r="CV1130" s="609"/>
      <c r="CW1130" s="609"/>
      <c r="CX1130" s="609"/>
      <c r="CY1130" s="609"/>
      <c r="CZ1130" s="609"/>
      <c r="DA1130" s="609"/>
      <c r="DB1130" s="609"/>
      <c r="DC1130" s="609"/>
      <c r="DD1130" s="609"/>
      <c r="DE1130" s="609"/>
      <c r="DF1130" s="609"/>
      <c r="DG1130" s="609"/>
      <c r="DH1130" s="609"/>
      <c r="DI1130" s="609"/>
      <c r="DJ1130" s="609"/>
      <c r="DK1130" s="609"/>
      <c r="DL1130" s="609"/>
      <c r="DM1130" s="609"/>
      <c r="DN1130" s="609"/>
      <c r="DO1130" s="609"/>
      <c r="DP1130" s="609"/>
      <c r="DQ1130" s="609"/>
      <c r="DR1130" s="609"/>
      <c r="DS1130" s="609"/>
      <c r="DT1130" s="609"/>
      <c r="DU1130" s="609"/>
      <c r="DV1130" s="609"/>
      <c r="DW1130" s="609"/>
      <c r="DX1130" s="609"/>
      <c r="DY1130" s="609"/>
      <c r="DZ1130" s="609"/>
      <c r="EA1130" s="609"/>
      <c r="EB1130" s="609"/>
      <c r="EC1130" s="609"/>
      <c r="ED1130" s="609"/>
      <c r="EE1130" s="609"/>
      <c r="EF1130" s="609"/>
      <c r="EG1130" s="609"/>
      <c r="EH1130" s="609"/>
      <c r="EI1130" s="609"/>
      <c r="EJ1130" s="609"/>
      <c r="EK1130" s="609"/>
      <c r="EL1130" s="609"/>
      <c r="EM1130" s="609"/>
      <c r="EN1130" s="609"/>
      <c r="EO1130" s="609"/>
      <c r="EP1130" s="609"/>
      <c r="EQ1130" s="609"/>
      <c r="ER1130" s="609"/>
      <c r="ES1130" s="609"/>
      <c r="ET1130" s="609"/>
      <c r="EU1130" s="609"/>
      <c r="EV1130" s="609"/>
      <c r="EW1130" s="609"/>
      <c r="EX1130" s="609"/>
      <c r="EY1130" s="609"/>
      <c r="EZ1130" s="609"/>
      <c r="FA1130" s="609"/>
      <c r="FB1130" s="609"/>
      <c r="FC1130" s="609"/>
      <c r="FD1130" s="609"/>
      <c r="FE1130" s="609"/>
      <c r="FF1130" s="609"/>
      <c r="FG1130" s="609"/>
      <c r="FH1130" s="609"/>
      <c r="FI1130" s="609"/>
      <c r="FJ1130" s="609"/>
      <c r="FK1130" s="609"/>
      <c r="FL1130" s="609"/>
      <c r="FM1130" s="609"/>
      <c r="FN1130" s="609"/>
      <c r="FO1130" s="609"/>
      <c r="FP1130" s="609"/>
      <c r="FQ1130" s="609"/>
      <c r="FR1130" s="609"/>
      <c r="FS1130" s="609"/>
      <c r="FT1130" s="609"/>
      <c r="FU1130" s="609"/>
      <c r="FV1130" s="609"/>
      <c r="FW1130" s="609"/>
      <c r="FX1130" s="609"/>
      <c r="FY1130" s="609"/>
      <c r="FZ1130" s="609"/>
      <c r="GA1130" s="609"/>
      <c r="GB1130" s="609"/>
      <c r="GC1130" s="609"/>
      <c r="GD1130" s="609"/>
      <c r="GE1130" s="609"/>
      <c r="GF1130" s="609"/>
      <c r="GG1130" s="609"/>
      <c r="GH1130" s="609"/>
      <c r="GI1130" s="609"/>
      <c r="GJ1130" s="609"/>
      <c r="GK1130" s="609"/>
      <c r="GL1130" s="609"/>
      <c r="GM1130" s="609"/>
      <c r="GN1130" s="609"/>
      <c r="GO1130" s="609"/>
      <c r="GP1130" s="609"/>
      <c r="GQ1130" s="609"/>
      <c r="GR1130" s="609"/>
      <c r="GS1130" s="609"/>
      <c r="GT1130" s="609"/>
      <c r="GU1130" s="609"/>
      <c r="GV1130" s="609"/>
      <c r="GW1130" s="609"/>
      <c r="GX1130" s="609"/>
      <c r="GY1130" s="609"/>
      <c r="GZ1130" s="609"/>
      <c r="HA1130" s="609"/>
      <c r="HB1130" s="609"/>
      <c r="HC1130" s="609"/>
      <c r="HD1130" s="609"/>
      <c r="HE1130" s="609"/>
      <c r="HF1130" s="609"/>
      <c r="HG1130" s="609"/>
      <c r="HH1130" s="609"/>
      <c r="HI1130" s="609"/>
      <c r="HJ1130" s="609"/>
      <c r="HK1130" s="609"/>
      <c r="HL1130" s="609"/>
      <c r="HM1130" s="609"/>
      <c r="HN1130" s="609"/>
      <c r="HO1130" s="609"/>
      <c r="HP1130" s="609"/>
      <c r="HQ1130" s="609"/>
      <c r="HR1130" s="609"/>
      <c r="HS1130" s="609"/>
      <c r="HT1130" s="609"/>
      <c r="HU1130" s="609"/>
      <c r="HV1130" s="609"/>
      <c r="HW1130" s="609"/>
      <c r="HX1130" s="609"/>
      <c r="HY1130" s="609"/>
      <c r="HZ1130" s="609"/>
      <c r="IA1130" s="609"/>
      <c r="IB1130" s="609"/>
      <c r="IC1130" s="609"/>
      <c r="ID1130" s="609"/>
      <c r="IE1130" s="609"/>
      <c r="IF1130" s="609"/>
      <c r="IG1130" s="609"/>
      <c r="IH1130" s="609"/>
      <c r="II1130" s="609"/>
      <c r="IJ1130" s="609"/>
      <c r="IK1130" s="609"/>
      <c r="IL1130" s="609"/>
      <c r="IM1130" s="609"/>
      <c r="IN1130" s="609"/>
      <c r="IO1130" s="609"/>
      <c r="IP1130" s="609"/>
      <c r="IQ1130" s="609"/>
      <c r="IR1130" s="609"/>
      <c r="IS1130" s="609"/>
      <c r="IT1130" s="609"/>
      <c r="IU1130" s="609"/>
      <c r="IV1130" s="609"/>
    </row>
    <row r="1131" spans="1:256" s="642" customFormat="1" x14ac:dyDescent="0.25">
      <c r="A1131" s="634" t="s">
        <v>277</v>
      </c>
      <c r="B1131" s="634">
        <v>247</v>
      </c>
      <c r="C1131" s="636"/>
      <c r="D1131" s="635" t="s">
        <v>1070</v>
      </c>
      <c r="E1131" s="636" t="s">
        <v>229</v>
      </c>
      <c r="F1131" s="612">
        <v>1</v>
      </c>
      <c r="G1131" s="681">
        <v>9.65</v>
      </c>
      <c r="H1131" s="612"/>
      <c r="I1131" s="695"/>
      <c r="J1131" s="695">
        <f>ROUND(F1131*G1131,2)</f>
        <v>9.65</v>
      </c>
      <c r="K1131" s="695"/>
      <c r="L1131" s="695"/>
      <c r="M1131" s="695"/>
      <c r="N1131" s="695"/>
      <c r="O1131" s="695"/>
      <c r="P1131" s="695"/>
      <c r="Q1131" s="609"/>
      <c r="R1131" s="609"/>
      <c r="S1131" s="609"/>
      <c r="T1131" s="609"/>
      <c r="U1131" s="609"/>
      <c r="V1131" s="609"/>
      <c r="W1131" s="609"/>
      <c r="X1131" s="609"/>
      <c r="Y1131" s="609"/>
      <c r="Z1131" s="609"/>
      <c r="AA1131" s="609"/>
      <c r="AB1131" s="609"/>
      <c r="AC1131" s="609"/>
      <c r="AD1131" s="609"/>
      <c r="AE1131" s="609"/>
      <c r="AF1131" s="609"/>
      <c r="AG1131" s="609"/>
      <c r="AH1131" s="609"/>
      <c r="AI1131" s="609"/>
      <c r="AJ1131" s="609"/>
      <c r="AK1131" s="609"/>
      <c r="AL1131" s="609"/>
      <c r="AM1131" s="609"/>
      <c r="AN1131" s="609"/>
      <c r="AO1131" s="609"/>
      <c r="AP1131" s="609"/>
      <c r="AQ1131" s="609"/>
      <c r="AR1131" s="609"/>
      <c r="AS1131" s="609"/>
      <c r="AT1131" s="609"/>
      <c r="AU1131" s="609"/>
      <c r="AV1131" s="609"/>
      <c r="AW1131" s="609"/>
      <c r="AX1131" s="609"/>
      <c r="AY1131" s="609"/>
      <c r="AZ1131" s="609"/>
      <c r="BA1131" s="609"/>
      <c r="BB1131" s="609"/>
      <c r="BC1131" s="609"/>
      <c r="BD1131" s="609"/>
      <c r="BE1131" s="609"/>
      <c r="BF1131" s="609"/>
      <c r="BG1131" s="609"/>
      <c r="BH1131" s="609"/>
      <c r="BI1131" s="609"/>
      <c r="BJ1131" s="609"/>
      <c r="BK1131" s="609"/>
      <c r="BL1131" s="609"/>
      <c r="BM1131" s="609"/>
      <c r="BN1131" s="609"/>
      <c r="BO1131" s="609"/>
      <c r="BP1131" s="609"/>
      <c r="BQ1131" s="609"/>
      <c r="BR1131" s="609"/>
      <c r="BS1131" s="609"/>
      <c r="BT1131" s="609"/>
      <c r="BU1131" s="609"/>
      <c r="BV1131" s="609"/>
      <c r="BW1131" s="609"/>
      <c r="BX1131" s="609"/>
      <c r="BY1131" s="609"/>
      <c r="BZ1131" s="609"/>
      <c r="CA1131" s="609"/>
      <c r="CB1131" s="609"/>
      <c r="CC1131" s="609"/>
      <c r="CD1131" s="609"/>
      <c r="CE1131" s="609"/>
      <c r="CF1131" s="609"/>
      <c r="CG1131" s="609"/>
      <c r="CH1131" s="609"/>
      <c r="CI1131" s="609"/>
      <c r="CJ1131" s="609"/>
      <c r="CK1131" s="609"/>
      <c r="CL1131" s="609"/>
      <c r="CM1131" s="609"/>
      <c r="CN1131" s="609"/>
      <c r="CO1131" s="609"/>
      <c r="CP1131" s="609"/>
      <c r="CQ1131" s="609"/>
      <c r="CR1131" s="609"/>
      <c r="CS1131" s="609"/>
      <c r="CT1131" s="609"/>
      <c r="CU1131" s="609"/>
      <c r="CV1131" s="609"/>
      <c r="CW1131" s="609"/>
      <c r="CX1131" s="609"/>
      <c r="CY1131" s="609"/>
      <c r="CZ1131" s="609"/>
      <c r="DA1131" s="609"/>
      <c r="DB1131" s="609"/>
      <c r="DC1131" s="609"/>
      <c r="DD1131" s="609"/>
      <c r="DE1131" s="609"/>
      <c r="DF1131" s="609"/>
      <c r="DG1131" s="609"/>
      <c r="DH1131" s="609"/>
      <c r="DI1131" s="609"/>
      <c r="DJ1131" s="609"/>
      <c r="DK1131" s="609"/>
      <c r="DL1131" s="609"/>
      <c r="DM1131" s="609"/>
      <c r="DN1131" s="609"/>
      <c r="DO1131" s="609"/>
      <c r="DP1131" s="609"/>
      <c r="DQ1131" s="609"/>
      <c r="DR1131" s="609"/>
      <c r="DS1131" s="609"/>
      <c r="DT1131" s="609"/>
      <c r="DU1131" s="609"/>
      <c r="DV1131" s="609"/>
      <c r="DW1131" s="609"/>
      <c r="DX1131" s="609"/>
      <c r="DY1131" s="609"/>
      <c r="DZ1131" s="609"/>
      <c r="EA1131" s="609"/>
      <c r="EB1131" s="609"/>
      <c r="EC1131" s="609"/>
      <c r="ED1131" s="609"/>
      <c r="EE1131" s="609"/>
      <c r="EF1131" s="609"/>
      <c r="EG1131" s="609"/>
      <c r="EH1131" s="609"/>
      <c r="EI1131" s="609"/>
      <c r="EJ1131" s="609"/>
      <c r="EK1131" s="609"/>
      <c r="EL1131" s="609"/>
      <c r="EM1131" s="609"/>
      <c r="EN1131" s="609"/>
      <c r="EO1131" s="609"/>
      <c r="EP1131" s="609"/>
      <c r="EQ1131" s="609"/>
      <c r="ER1131" s="609"/>
      <c r="ES1131" s="609"/>
      <c r="ET1131" s="609"/>
      <c r="EU1131" s="609"/>
      <c r="EV1131" s="609"/>
      <c r="EW1131" s="609"/>
      <c r="EX1131" s="609"/>
      <c r="EY1131" s="609"/>
      <c r="EZ1131" s="609"/>
      <c r="FA1131" s="609"/>
      <c r="FB1131" s="609"/>
      <c r="FC1131" s="609"/>
      <c r="FD1131" s="609"/>
      <c r="FE1131" s="609"/>
      <c r="FF1131" s="609"/>
      <c r="FG1131" s="609"/>
      <c r="FH1131" s="609"/>
      <c r="FI1131" s="609"/>
      <c r="FJ1131" s="609"/>
      <c r="FK1131" s="609"/>
      <c r="FL1131" s="609"/>
      <c r="FM1131" s="609"/>
      <c r="FN1131" s="609"/>
      <c r="FO1131" s="609"/>
      <c r="FP1131" s="609"/>
      <c r="FQ1131" s="609"/>
      <c r="FR1131" s="609"/>
      <c r="FS1131" s="609"/>
      <c r="FT1131" s="609"/>
      <c r="FU1131" s="609"/>
      <c r="FV1131" s="609"/>
      <c r="FW1131" s="609"/>
      <c r="FX1131" s="609"/>
      <c r="FY1131" s="609"/>
      <c r="FZ1131" s="609"/>
      <c r="GA1131" s="609"/>
      <c r="GB1131" s="609"/>
      <c r="GC1131" s="609"/>
      <c r="GD1131" s="609"/>
      <c r="GE1131" s="609"/>
      <c r="GF1131" s="609"/>
      <c r="GG1131" s="609"/>
      <c r="GH1131" s="609"/>
      <c r="GI1131" s="609"/>
      <c r="GJ1131" s="609"/>
      <c r="GK1131" s="609"/>
      <c r="GL1131" s="609"/>
      <c r="GM1131" s="609"/>
      <c r="GN1131" s="609"/>
      <c r="GO1131" s="609"/>
      <c r="GP1131" s="609"/>
      <c r="GQ1131" s="609"/>
      <c r="GR1131" s="609"/>
      <c r="GS1131" s="609"/>
      <c r="GT1131" s="609"/>
      <c r="GU1131" s="609"/>
      <c r="GV1131" s="609"/>
      <c r="GW1131" s="609"/>
      <c r="GX1131" s="609"/>
      <c r="GY1131" s="609"/>
      <c r="GZ1131" s="609"/>
      <c r="HA1131" s="609"/>
      <c r="HB1131" s="609"/>
      <c r="HC1131" s="609"/>
      <c r="HD1131" s="609"/>
      <c r="HE1131" s="609"/>
      <c r="HF1131" s="609"/>
      <c r="HG1131" s="609"/>
      <c r="HH1131" s="609"/>
      <c r="HI1131" s="609"/>
      <c r="HJ1131" s="609"/>
      <c r="HK1131" s="609"/>
      <c r="HL1131" s="609"/>
      <c r="HM1131" s="609"/>
      <c r="HN1131" s="609"/>
      <c r="HO1131" s="609"/>
      <c r="HP1131" s="609"/>
      <c r="HQ1131" s="609"/>
      <c r="HR1131" s="609"/>
      <c r="HS1131" s="609"/>
      <c r="HT1131" s="609"/>
      <c r="HU1131" s="609"/>
      <c r="HV1131" s="609"/>
      <c r="HW1131" s="609"/>
      <c r="HX1131" s="609"/>
      <c r="HY1131" s="609"/>
      <c r="HZ1131" s="609"/>
      <c r="IA1131" s="609"/>
      <c r="IB1131" s="609"/>
      <c r="IC1131" s="609"/>
      <c r="ID1131" s="609"/>
      <c r="IE1131" s="609"/>
      <c r="IF1131" s="609"/>
      <c r="IG1131" s="609"/>
      <c r="IH1131" s="609"/>
      <c r="II1131" s="609"/>
      <c r="IJ1131" s="609"/>
      <c r="IK1131" s="609"/>
      <c r="IL1131" s="609"/>
      <c r="IM1131" s="609"/>
      <c r="IN1131" s="609"/>
      <c r="IO1131" s="609"/>
      <c r="IP1131" s="609"/>
      <c r="IQ1131" s="609"/>
      <c r="IR1131" s="609"/>
      <c r="IS1131" s="609"/>
      <c r="IT1131" s="609"/>
      <c r="IU1131" s="609"/>
      <c r="IV1131" s="609"/>
    </row>
    <row r="1132" spans="1:256" s="642" customFormat="1" x14ac:dyDescent="0.25">
      <c r="A1132" s="675"/>
      <c r="B1132" s="675"/>
      <c r="C1132" s="675" t="s">
        <v>1813</v>
      </c>
      <c r="D1132" s="620" t="s">
        <v>1814</v>
      </c>
      <c r="E1132" s="675" t="s">
        <v>251</v>
      </c>
      <c r="F1132" s="620"/>
      <c r="G1132" s="622"/>
      <c r="H1132" s="620">
        <v>3</v>
      </c>
      <c r="I1132" s="677">
        <f>SUM(I1133:I1135)</f>
        <v>8.1999999999999993</v>
      </c>
      <c r="J1132" s="677">
        <f>SUM(J1133:J1135)</f>
        <v>10.34</v>
      </c>
      <c r="K1132" s="665">
        <f>I1132+J1132</f>
        <v>18.54</v>
      </c>
      <c r="L1132" s="622">
        <f>H1132*I1132</f>
        <v>24.599999999999998</v>
      </c>
      <c r="M1132" s="622">
        <f>H1132*J1132</f>
        <v>31.02</v>
      </c>
      <c r="N1132" s="622">
        <f>L1132+M1132</f>
        <v>55.62</v>
      </c>
      <c r="O1132" s="622">
        <f>N1132*$P$4</f>
        <v>13.660272000000001</v>
      </c>
      <c r="P1132" s="622">
        <f>N1132+O1132</f>
        <v>69.280271999999997</v>
      </c>
      <c r="Q1132" s="609"/>
      <c r="R1132" s="609"/>
      <c r="S1132" s="609"/>
      <c r="T1132" s="609"/>
      <c r="U1132" s="609"/>
      <c r="V1132" s="609"/>
      <c r="W1132" s="609"/>
      <c r="X1132" s="609"/>
      <c r="Y1132" s="609"/>
      <c r="Z1132" s="609"/>
      <c r="AA1132" s="609"/>
      <c r="AB1132" s="609"/>
      <c r="AC1132" s="609"/>
      <c r="AD1132" s="609"/>
      <c r="AE1132" s="609"/>
      <c r="AF1132" s="609"/>
      <c r="AG1132" s="609"/>
      <c r="AH1132" s="609"/>
      <c r="AI1132" s="609"/>
      <c r="AJ1132" s="609"/>
      <c r="AK1132" s="609"/>
      <c r="AL1132" s="609"/>
      <c r="AM1132" s="609"/>
      <c r="AN1132" s="609"/>
      <c r="AO1132" s="609"/>
      <c r="AP1132" s="609"/>
      <c r="AQ1132" s="609"/>
      <c r="AR1132" s="609"/>
      <c r="AS1132" s="609"/>
      <c r="AT1132" s="609"/>
      <c r="AU1132" s="609"/>
      <c r="AV1132" s="609"/>
      <c r="AW1132" s="609"/>
      <c r="AX1132" s="609"/>
      <c r="AY1132" s="609"/>
      <c r="AZ1132" s="609"/>
      <c r="BA1132" s="609"/>
      <c r="BB1132" s="609"/>
      <c r="BC1132" s="609"/>
      <c r="BD1132" s="609"/>
      <c r="BE1132" s="609"/>
      <c r="BF1132" s="609"/>
      <c r="BG1132" s="609"/>
      <c r="BH1132" s="609"/>
      <c r="BI1132" s="609"/>
      <c r="BJ1132" s="609"/>
      <c r="BK1132" s="609"/>
      <c r="BL1132" s="609"/>
      <c r="BM1132" s="609"/>
      <c r="BN1132" s="609"/>
      <c r="BO1132" s="609"/>
      <c r="BP1132" s="609"/>
      <c r="BQ1132" s="609"/>
      <c r="BR1132" s="609"/>
      <c r="BS1132" s="609"/>
      <c r="BT1132" s="609"/>
      <c r="BU1132" s="609"/>
      <c r="BV1132" s="609"/>
      <c r="BW1132" s="609"/>
      <c r="BX1132" s="609"/>
      <c r="BY1132" s="609"/>
      <c r="BZ1132" s="609"/>
      <c r="CA1132" s="609"/>
      <c r="CB1132" s="609"/>
      <c r="CC1132" s="609"/>
      <c r="CD1132" s="609"/>
      <c r="CE1132" s="609"/>
      <c r="CF1132" s="609"/>
      <c r="CG1132" s="609"/>
      <c r="CH1132" s="609"/>
      <c r="CI1132" s="609"/>
      <c r="CJ1132" s="609"/>
      <c r="CK1132" s="609"/>
      <c r="CL1132" s="609"/>
      <c r="CM1132" s="609"/>
      <c r="CN1132" s="609"/>
      <c r="CO1132" s="609"/>
      <c r="CP1132" s="609"/>
      <c r="CQ1132" s="609"/>
      <c r="CR1132" s="609"/>
      <c r="CS1132" s="609"/>
      <c r="CT1132" s="609"/>
      <c r="CU1132" s="609"/>
      <c r="CV1132" s="609"/>
      <c r="CW1132" s="609"/>
      <c r="CX1132" s="609"/>
      <c r="CY1132" s="609"/>
      <c r="CZ1132" s="609"/>
      <c r="DA1132" s="609"/>
      <c r="DB1132" s="609"/>
      <c r="DC1132" s="609"/>
      <c r="DD1132" s="609"/>
      <c r="DE1132" s="609"/>
      <c r="DF1132" s="609"/>
      <c r="DG1132" s="609"/>
      <c r="DH1132" s="609"/>
      <c r="DI1132" s="609"/>
      <c r="DJ1132" s="609"/>
      <c r="DK1132" s="609"/>
      <c r="DL1132" s="609"/>
      <c r="DM1132" s="609"/>
      <c r="DN1132" s="609"/>
      <c r="DO1132" s="609"/>
      <c r="DP1132" s="609"/>
      <c r="DQ1132" s="609"/>
      <c r="DR1132" s="609"/>
      <c r="DS1132" s="609"/>
      <c r="DT1132" s="609"/>
      <c r="DU1132" s="609"/>
      <c r="DV1132" s="609"/>
      <c r="DW1132" s="609"/>
      <c r="DX1132" s="609"/>
      <c r="DY1132" s="609"/>
      <c r="DZ1132" s="609"/>
      <c r="EA1132" s="609"/>
      <c r="EB1132" s="609"/>
      <c r="EC1132" s="609"/>
      <c r="ED1132" s="609"/>
      <c r="EE1132" s="609"/>
      <c r="EF1132" s="609"/>
      <c r="EG1132" s="609"/>
      <c r="EH1132" s="609"/>
      <c r="EI1132" s="609"/>
      <c r="EJ1132" s="609"/>
      <c r="EK1132" s="609"/>
      <c r="EL1132" s="609"/>
      <c r="EM1132" s="609"/>
      <c r="EN1132" s="609"/>
      <c r="EO1132" s="609"/>
      <c r="EP1132" s="609"/>
      <c r="EQ1132" s="609"/>
      <c r="ER1132" s="609"/>
      <c r="ES1132" s="609"/>
      <c r="ET1132" s="609"/>
      <c r="EU1132" s="609"/>
      <c r="EV1132" s="609"/>
      <c r="EW1132" s="609"/>
      <c r="EX1132" s="609"/>
      <c r="EY1132" s="609"/>
      <c r="EZ1132" s="609"/>
      <c r="FA1132" s="609"/>
      <c r="FB1132" s="609"/>
      <c r="FC1132" s="609"/>
      <c r="FD1132" s="609"/>
      <c r="FE1132" s="609"/>
      <c r="FF1132" s="609"/>
      <c r="FG1132" s="609"/>
      <c r="FH1132" s="609"/>
      <c r="FI1132" s="609"/>
      <c r="FJ1132" s="609"/>
      <c r="FK1132" s="609"/>
      <c r="FL1132" s="609"/>
      <c r="FM1132" s="609"/>
      <c r="FN1132" s="609"/>
      <c r="FO1132" s="609"/>
      <c r="FP1132" s="609"/>
      <c r="FQ1132" s="609"/>
      <c r="FR1132" s="609"/>
      <c r="FS1132" s="609"/>
      <c r="FT1132" s="609"/>
      <c r="FU1132" s="609"/>
      <c r="FV1132" s="609"/>
      <c r="FW1132" s="609"/>
      <c r="FX1132" s="609"/>
      <c r="FY1132" s="609"/>
      <c r="FZ1132" s="609"/>
      <c r="GA1132" s="609"/>
      <c r="GB1132" s="609"/>
      <c r="GC1132" s="609"/>
      <c r="GD1132" s="609"/>
      <c r="GE1132" s="609"/>
      <c r="GF1132" s="609"/>
      <c r="GG1132" s="609"/>
      <c r="GH1132" s="609"/>
      <c r="GI1132" s="609"/>
      <c r="GJ1132" s="609"/>
      <c r="GK1132" s="609"/>
      <c r="GL1132" s="609"/>
      <c r="GM1132" s="609"/>
      <c r="GN1132" s="609"/>
      <c r="GO1132" s="609"/>
      <c r="GP1132" s="609"/>
      <c r="GQ1132" s="609"/>
      <c r="GR1132" s="609"/>
      <c r="GS1132" s="609"/>
      <c r="GT1132" s="609"/>
      <c r="GU1132" s="609"/>
      <c r="GV1132" s="609"/>
      <c r="GW1132" s="609"/>
      <c r="GX1132" s="609"/>
      <c r="GY1132" s="609"/>
      <c r="GZ1132" s="609"/>
      <c r="HA1132" s="609"/>
      <c r="HB1132" s="609"/>
      <c r="HC1132" s="609"/>
      <c r="HD1132" s="609"/>
      <c r="HE1132" s="609"/>
      <c r="HF1132" s="609"/>
      <c r="HG1132" s="609"/>
      <c r="HH1132" s="609"/>
      <c r="HI1132" s="609"/>
      <c r="HJ1132" s="609"/>
      <c r="HK1132" s="609"/>
      <c r="HL1132" s="609"/>
      <c r="HM1132" s="609"/>
      <c r="HN1132" s="609"/>
      <c r="HO1132" s="609"/>
      <c r="HP1132" s="609"/>
      <c r="HQ1132" s="609"/>
      <c r="HR1132" s="609"/>
      <c r="HS1132" s="609"/>
      <c r="HT1132" s="609"/>
      <c r="HU1132" s="609"/>
      <c r="HV1132" s="609"/>
      <c r="HW1132" s="609"/>
      <c r="HX1132" s="609"/>
      <c r="HY1132" s="609"/>
      <c r="HZ1132" s="609"/>
      <c r="IA1132" s="609"/>
      <c r="IB1132" s="609"/>
      <c r="IC1132" s="609"/>
      <c r="ID1132" s="609"/>
      <c r="IE1132" s="609"/>
      <c r="IF1132" s="609"/>
      <c r="IG1132" s="609"/>
      <c r="IH1132" s="609"/>
      <c r="II1132" s="609"/>
      <c r="IJ1132" s="609"/>
      <c r="IK1132" s="609"/>
      <c r="IL1132" s="609"/>
      <c r="IM1132" s="609"/>
      <c r="IN1132" s="609"/>
      <c r="IO1132" s="609"/>
      <c r="IP1132" s="609"/>
      <c r="IQ1132" s="609"/>
      <c r="IR1132" s="609"/>
      <c r="IS1132" s="609"/>
      <c r="IT1132" s="609"/>
      <c r="IU1132" s="609"/>
      <c r="IV1132" s="609"/>
    </row>
    <row r="1133" spans="1:256" s="721" customFormat="1" x14ac:dyDescent="0.25">
      <c r="A1133" s="692" t="s">
        <v>1705</v>
      </c>
      <c r="B1133" s="679"/>
      <c r="C1133" s="725"/>
      <c r="D1133" s="726" t="s">
        <v>1814</v>
      </c>
      <c r="E1133" s="725" t="s">
        <v>251</v>
      </c>
      <c r="F1133" s="625">
        <v>1</v>
      </c>
      <c r="G1133" s="681">
        <v>8.1999999999999993</v>
      </c>
      <c r="H1133" s="625"/>
      <c r="I1133" s="728">
        <f>ROUND(F1133*G1133,2)</f>
        <v>8.1999999999999993</v>
      </c>
      <c r="J1133" s="728" t="s">
        <v>1207</v>
      </c>
      <c r="K1133" s="728"/>
      <c r="L1133" s="728"/>
      <c r="M1133" s="728"/>
      <c r="N1133" s="728"/>
      <c r="O1133" s="728"/>
      <c r="P1133" s="728"/>
      <c r="Q1133" s="652"/>
      <c r="R1133" s="652"/>
      <c r="S1133" s="652"/>
      <c r="T1133" s="652"/>
      <c r="U1133" s="652"/>
      <c r="V1133" s="652"/>
      <c r="W1133" s="652"/>
      <c r="X1133" s="652"/>
      <c r="Y1133" s="652"/>
      <c r="Z1133" s="652"/>
      <c r="AA1133" s="652"/>
      <c r="AB1133" s="652"/>
      <c r="AC1133" s="652"/>
      <c r="AD1133" s="652"/>
      <c r="AE1133" s="652"/>
      <c r="AF1133" s="652"/>
      <c r="AG1133" s="652"/>
      <c r="AH1133" s="652"/>
      <c r="AI1133" s="652"/>
      <c r="AJ1133" s="652"/>
      <c r="AK1133" s="652"/>
      <c r="AL1133" s="652"/>
      <c r="AM1133" s="652"/>
      <c r="AN1133" s="652"/>
      <c r="AO1133" s="652"/>
      <c r="AP1133" s="652"/>
      <c r="AQ1133" s="652"/>
      <c r="AR1133" s="652"/>
      <c r="AS1133" s="652"/>
      <c r="AT1133" s="652"/>
      <c r="AU1133" s="652"/>
      <c r="AV1133" s="652"/>
      <c r="AW1133" s="652"/>
      <c r="AX1133" s="652"/>
      <c r="AY1133" s="652"/>
      <c r="AZ1133" s="652"/>
      <c r="BA1133" s="652"/>
      <c r="BB1133" s="652"/>
      <c r="BC1133" s="652"/>
      <c r="BD1133" s="652"/>
      <c r="BE1133" s="652"/>
      <c r="BF1133" s="652"/>
      <c r="BG1133" s="652"/>
      <c r="BH1133" s="652"/>
      <c r="BI1133" s="652"/>
      <c r="BJ1133" s="652"/>
      <c r="BK1133" s="652"/>
      <c r="BL1133" s="652"/>
      <c r="BM1133" s="652"/>
      <c r="BN1133" s="652"/>
      <c r="BO1133" s="652"/>
      <c r="BP1133" s="652"/>
      <c r="BQ1133" s="652"/>
      <c r="BR1133" s="652"/>
      <c r="BS1133" s="652"/>
      <c r="BT1133" s="652"/>
      <c r="BU1133" s="652"/>
      <c r="BV1133" s="652"/>
      <c r="BW1133" s="652"/>
      <c r="BX1133" s="652"/>
      <c r="BY1133" s="652"/>
      <c r="BZ1133" s="652"/>
      <c r="CA1133" s="652"/>
      <c r="CB1133" s="652"/>
      <c r="CC1133" s="652"/>
      <c r="CD1133" s="652"/>
      <c r="CE1133" s="652"/>
      <c r="CF1133" s="652"/>
      <c r="CG1133" s="652"/>
      <c r="CH1133" s="652"/>
      <c r="CI1133" s="652"/>
      <c r="CJ1133" s="652"/>
      <c r="CK1133" s="652"/>
      <c r="CL1133" s="652"/>
      <c r="CM1133" s="652"/>
      <c r="CN1133" s="652"/>
      <c r="CO1133" s="652"/>
      <c r="CP1133" s="652"/>
      <c r="CQ1133" s="652"/>
      <c r="CR1133" s="652"/>
      <c r="CS1133" s="652"/>
      <c r="CT1133" s="652"/>
      <c r="CU1133" s="652"/>
      <c r="CV1133" s="652"/>
      <c r="CW1133" s="652"/>
      <c r="CX1133" s="652"/>
      <c r="CY1133" s="652"/>
      <c r="CZ1133" s="652"/>
      <c r="DA1133" s="652"/>
      <c r="DB1133" s="652"/>
      <c r="DC1133" s="652"/>
      <c r="DD1133" s="652"/>
      <c r="DE1133" s="652"/>
      <c r="DF1133" s="652"/>
      <c r="DG1133" s="652"/>
      <c r="DH1133" s="652"/>
      <c r="DI1133" s="652"/>
      <c r="DJ1133" s="652"/>
      <c r="DK1133" s="652"/>
      <c r="DL1133" s="652"/>
      <c r="DM1133" s="652"/>
      <c r="DN1133" s="652"/>
      <c r="DO1133" s="652"/>
      <c r="DP1133" s="652"/>
      <c r="DQ1133" s="652"/>
      <c r="DR1133" s="652"/>
      <c r="DS1133" s="652"/>
      <c r="DT1133" s="652"/>
      <c r="DU1133" s="652"/>
      <c r="DV1133" s="652"/>
      <c r="DW1133" s="652"/>
      <c r="DX1133" s="652"/>
      <c r="DY1133" s="652"/>
      <c r="DZ1133" s="652"/>
      <c r="EA1133" s="652"/>
      <c r="EB1133" s="652"/>
      <c r="EC1133" s="652"/>
      <c r="ED1133" s="652"/>
      <c r="EE1133" s="652"/>
      <c r="EF1133" s="652"/>
      <c r="EG1133" s="652"/>
      <c r="EH1133" s="652"/>
      <c r="EI1133" s="652"/>
      <c r="EJ1133" s="652"/>
      <c r="EK1133" s="652"/>
      <c r="EL1133" s="652"/>
      <c r="EM1133" s="652"/>
      <c r="EN1133" s="652"/>
      <c r="EO1133" s="652"/>
      <c r="EP1133" s="652"/>
      <c r="EQ1133" s="652"/>
      <c r="ER1133" s="652"/>
      <c r="ES1133" s="652"/>
      <c r="ET1133" s="652"/>
      <c r="EU1133" s="652"/>
      <c r="EV1133" s="652"/>
      <c r="EW1133" s="652"/>
      <c r="EX1133" s="652"/>
      <c r="EY1133" s="652"/>
      <c r="EZ1133" s="652"/>
      <c r="FA1133" s="652"/>
      <c r="FB1133" s="652"/>
      <c r="FC1133" s="652"/>
      <c r="FD1133" s="652"/>
      <c r="FE1133" s="652"/>
      <c r="FF1133" s="652"/>
      <c r="FG1133" s="652"/>
      <c r="FH1133" s="652"/>
      <c r="FI1133" s="652"/>
      <c r="FJ1133" s="652"/>
      <c r="FK1133" s="652"/>
      <c r="FL1133" s="652"/>
      <c r="FM1133" s="652"/>
      <c r="FN1133" s="652"/>
      <c r="FO1133" s="652"/>
      <c r="FP1133" s="652"/>
      <c r="FQ1133" s="652"/>
      <c r="FR1133" s="652"/>
      <c r="FS1133" s="652"/>
      <c r="FT1133" s="652"/>
      <c r="FU1133" s="652"/>
      <c r="FV1133" s="652"/>
      <c r="FW1133" s="652"/>
      <c r="FX1133" s="652"/>
      <c r="FY1133" s="652"/>
      <c r="FZ1133" s="652"/>
      <c r="GA1133" s="652"/>
      <c r="GB1133" s="652"/>
      <c r="GC1133" s="652"/>
      <c r="GD1133" s="652"/>
      <c r="GE1133" s="652"/>
      <c r="GF1133" s="652"/>
      <c r="GG1133" s="652"/>
      <c r="GH1133" s="652"/>
      <c r="GI1133" s="652"/>
      <c r="GJ1133" s="652"/>
      <c r="GK1133" s="652"/>
      <c r="GL1133" s="652"/>
      <c r="GM1133" s="652"/>
      <c r="GN1133" s="652"/>
      <c r="GO1133" s="652"/>
      <c r="GP1133" s="652"/>
      <c r="GQ1133" s="652"/>
      <c r="GR1133" s="652"/>
      <c r="GS1133" s="652"/>
      <c r="GT1133" s="652"/>
      <c r="GU1133" s="652"/>
      <c r="GV1133" s="652"/>
      <c r="GW1133" s="652"/>
      <c r="GX1133" s="652"/>
      <c r="GY1133" s="652"/>
      <c r="GZ1133" s="652"/>
      <c r="HA1133" s="652"/>
      <c r="HB1133" s="652"/>
      <c r="HC1133" s="652"/>
      <c r="HD1133" s="652"/>
      <c r="HE1133" s="652"/>
      <c r="HF1133" s="652"/>
      <c r="HG1133" s="652"/>
      <c r="HH1133" s="652"/>
      <c r="HI1133" s="652"/>
      <c r="HJ1133" s="652"/>
      <c r="HK1133" s="652"/>
      <c r="HL1133" s="652"/>
      <c r="HM1133" s="652"/>
      <c r="HN1133" s="652"/>
      <c r="HO1133" s="652"/>
      <c r="HP1133" s="652"/>
      <c r="HQ1133" s="652"/>
      <c r="HR1133" s="652"/>
      <c r="HS1133" s="652"/>
      <c r="HT1133" s="652"/>
      <c r="HU1133" s="652"/>
      <c r="HV1133" s="652"/>
      <c r="HW1133" s="652"/>
      <c r="HX1133" s="652"/>
      <c r="HY1133" s="652"/>
      <c r="HZ1133" s="652"/>
      <c r="IA1133" s="652"/>
      <c r="IB1133" s="652"/>
      <c r="IC1133" s="652"/>
      <c r="ID1133" s="652"/>
      <c r="IE1133" s="652"/>
      <c r="IF1133" s="652"/>
      <c r="IG1133" s="652"/>
      <c r="IH1133" s="652"/>
      <c r="II1133" s="652"/>
      <c r="IJ1133" s="652"/>
      <c r="IK1133" s="652"/>
      <c r="IL1133" s="652"/>
      <c r="IM1133" s="652"/>
      <c r="IN1133" s="652"/>
      <c r="IO1133" s="652"/>
      <c r="IP1133" s="652"/>
      <c r="IQ1133" s="652"/>
      <c r="IR1133" s="652"/>
      <c r="IS1133" s="652"/>
      <c r="IT1133" s="652"/>
      <c r="IU1133" s="652"/>
      <c r="IV1133" s="652"/>
    </row>
    <row r="1134" spans="1:256" s="642" customFormat="1" x14ac:dyDescent="0.25">
      <c r="A1134" s="634" t="s">
        <v>277</v>
      </c>
      <c r="B1134" s="634">
        <v>2439</v>
      </c>
      <c r="C1134" s="636"/>
      <c r="D1134" s="612" t="s">
        <v>1707</v>
      </c>
      <c r="E1134" s="636" t="s">
        <v>229</v>
      </c>
      <c r="F1134" s="612">
        <v>0.4</v>
      </c>
      <c r="G1134" s="681">
        <v>16.2</v>
      </c>
      <c r="H1134" s="612"/>
      <c r="I1134" s="695"/>
      <c r="J1134" s="695">
        <f>ROUND(F1134*G1134,2)</f>
        <v>6.48</v>
      </c>
      <c r="K1134" s="695"/>
      <c r="L1134" s="695"/>
      <c r="M1134" s="695"/>
      <c r="N1134" s="695"/>
      <c r="O1134" s="695"/>
      <c r="P1134" s="695"/>
      <c r="Q1134" s="609"/>
      <c r="R1134" s="609"/>
      <c r="S1134" s="609"/>
      <c r="T1134" s="609"/>
      <c r="U1134" s="609"/>
      <c r="V1134" s="609"/>
      <c r="W1134" s="609"/>
      <c r="X1134" s="609"/>
      <c r="Y1134" s="609"/>
      <c r="Z1134" s="609"/>
      <c r="AA1134" s="609"/>
      <c r="AB1134" s="609"/>
      <c r="AC1134" s="609"/>
      <c r="AD1134" s="609"/>
      <c r="AE1134" s="609"/>
      <c r="AF1134" s="609"/>
      <c r="AG1134" s="609"/>
      <c r="AH1134" s="609"/>
      <c r="AI1134" s="609"/>
      <c r="AJ1134" s="609"/>
      <c r="AK1134" s="609"/>
      <c r="AL1134" s="609"/>
      <c r="AM1134" s="609"/>
      <c r="AN1134" s="609"/>
      <c r="AO1134" s="609"/>
      <c r="AP1134" s="609"/>
      <c r="AQ1134" s="609"/>
      <c r="AR1134" s="609"/>
      <c r="AS1134" s="609"/>
      <c r="AT1134" s="609"/>
      <c r="AU1134" s="609"/>
      <c r="AV1134" s="609"/>
      <c r="AW1134" s="609"/>
      <c r="AX1134" s="609"/>
      <c r="AY1134" s="609"/>
      <c r="AZ1134" s="609"/>
      <c r="BA1134" s="609"/>
      <c r="BB1134" s="609"/>
      <c r="BC1134" s="609"/>
      <c r="BD1134" s="609"/>
      <c r="BE1134" s="609"/>
      <c r="BF1134" s="609"/>
      <c r="BG1134" s="609"/>
      <c r="BH1134" s="609"/>
      <c r="BI1134" s="609"/>
      <c r="BJ1134" s="609"/>
      <c r="BK1134" s="609"/>
      <c r="BL1134" s="609"/>
      <c r="BM1134" s="609"/>
      <c r="BN1134" s="609"/>
      <c r="BO1134" s="609"/>
      <c r="BP1134" s="609"/>
      <c r="BQ1134" s="609"/>
      <c r="BR1134" s="609"/>
      <c r="BS1134" s="609"/>
      <c r="BT1134" s="609"/>
      <c r="BU1134" s="609"/>
      <c r="BV1134" s="609"/>
      <c r="BW1134" s="609"/>
      <c r="BX1134" s="609"/>
      <c r="BY1134" s="609"/>
      <c r="BZ1134" s="609"/>
      <c r="CA1134" s="609"/>
      <c r="CB1134" s="609"/>
      <c r="CC1134" s="609"/>
      <c r="CD1134" s="609"/>
      <c r="CE1134" s="609"/>
      <c r="CF1134" s="609"/>
      <c r="CG1134" s="609"/>
      <c r="CH1134" s="609"/>
      <c r="CI1134" s="609"/>
      <c r="CJ1134" s="609"/>
      <c r="CK1134" s="609"/>
      <c r="CL1134" s="609"/>
      <c r="CM1134" s="609"/>
      <c r="CN1134" s="609"/>
      <c r="CO1134" s="609"/>
      <c r="CP1134" s="609"/>
      <c r="CQ1134" s="609"/>
      <c r="CR1134" s="609"/>
      <c r="CS1134" s="609"/>
      <c r="CT1134" s="609"/>
      <c r="CU1134" s="609"/>
      <c r="CV1134" s="609"/>
      <c r="CW1134" s="609"/>
      <c r="CX1134" s="609"/>
      <c r="CY1134" s="609"/>
      <c r="CZ1134" s="609"/>
      <c r="DA1134" s="609"/>
      <c r="DB1134" s="609"/>
      <c r="DC1134" s="609"/>
      <c r="DD1134" s="609"/>
      <c r="DE1134" s="609"/>
      <c r="DF1134" s="609"/>
      <c r="DG1134" s="609"/>
      <c r="DH1134" s="609"/>
      <c r="DI1134" s="609"/>
      <c r="DJ1134" s="609"/>
      <c r="DK1134" s="609"/>
      <c r="DL1134" s="609"/>
      <c r="DM1134" s="609"/>
      <c r="DN1134" s="609"/>
      <c r="DO1134" s="609"/>
      <c r="DP1134" s="609"/>
      <c r="DQ1134" s="609"/>
      <c r="DR1134" s="609"/>
      <c r="DS1134" s="609"/>
      <c r="DT1134" s="609"/>
      <c r="DU1134" s="609"/>
      <c r="DV1134" s="609"/>
      <c r="DW1134" s="609"/>
      <c r="DX1134" s="609"/>
      <c r="DY1134" s="609"/>
      <c r="DZ1134" s="609"/>
      <c r="EA1134" s="609"/>
      <c r="EB1134" s="609"/>
      <c r="EC1134" s="609"/>
      <c r="ED1134" s="609"/>
      <c r="EE1134" s="609"/>
      <c r="EF1134" s="609"/>
      <c r="EG1134" s="609"/>
      <c r="EH1134" s="609"/>
      <c r="EI1134" s="609"/>
      <c r="EJ1134" s="609"/>
      <c r="EK1134" s="609"/>
      <c r="EL1134" s="609"/>
      <c r="EM1134" s="609"/>
      <c r="EN1134" s="609"/>
      <c r="EO1134" s="609"/>
      <c r="EP1134" s="609"/>
      <c r="EQ1134" s="609"/>
      <c r="ER1134" s="609"/>
      <c r="ES1134" s="609"/>
      <c r="ET1134" s="609"/>
      <c r="EU1134" s="609"/>
      <c r="EV1134" s="609"/>
      <c r="EW1134" s="609"/>
      <c r="EX1134" s="609"/>
      <c r="EY1134" s="609"/>
      <c r="EZ1134" s="609"/>
      <c r="FA1134" s="609"/>
      <c r="FB1134" s="609"/>
      <c r="FC1134" s="609"/>
      <c r="FD1134" s="609"/>
      <c r="FE1134" s="609"/>
      <c r="FF1134" s="609"/>
      <c r="FG1134" s="609"/>
      <c r="FH1134" s="609"/>
      <c r="FI1134" s="609"/>
      <c r="FJ1134" s="609"/>
      <c r="FK1134" s="609"/>
      <c r="FL1134" s="609"/>
      <c r="FM1134" s="609"/>
      <c r="FN1134" s="609"/>
      <c r="FO1134" s="609"/>
      <c r="FP1134" s="609"/>
      <c r="FQ1134" s="609"/>
      <c r="FR1134" s="609"/>
      <c r="FS1134" s="609"/>
      <c r="FT1134" s="609"/>
      <c r="FU1134" s="609"/>
      <c r="FV1134" s="609"/>
      <c r="FW1134" s="609"/>
      <c r="FX1134" s="609"/>
      <c r="FY1134" s="609"/>
      <c r="FZ1134" s="609"/>
      <c r="GA1134" s="609"/>
      <c r="GB1134" s="609"/>
      <c r="GC1134" s="609"/>
      <c r="GD1134" s="609"/>
      <c r="GE1134" s="609"/>
      <c r="GF1134" s="609"/>
      <c r="GG1134" s="609"/>
      <c r="GH1134" s="609"/>
      <c r="GI1134" s="609"/>
      <c r="GJ1134" s="609"/>
      <c r="GK1134" s="609"/>
      <c r="GL1134" s="609"/>
      <c r="GM1134" s="609"/>
      <c r="GN1134" s="609"/>
      <c r="GO1134" s="609"/>
      <c r="GP1134" s="609"/>
      <c r="GQ1134" s="609"/>
      <c r="GR1134" s="609"/>
      <c r="GS1134" s="609"/>
      <c r="GT1134" s="609"/>
      <c r="GU1134" s="609"/>
      <c r="GV1134" s="609"/>
      <c r="GW1134" s="609"/>
      <c r="GX1134" s="609"/>
      <c r="GY1134" s="609"/>
      <c r="GZ1134" s="609"/>
      <c r="HA1134" s="609"/>
      <c r="HB1134" s="609"/>
      <c r="HC1134" s="609"/>
      <c r="HD1134" s="609"/>
      <c r="HE1134" s="609"/>
      <c r="HF1134" s="609"/>
      <c r="HG1134" s="609"/>
      <c r="HH1134" s="609"/>
      <c r="HI1134" s="609"/>
      <c r="HJ1134" s="609"/>
      <c r="HK1134" s="609"/>
      <c r="HL1134" s="609"/>
      <c r="HM1134" s="609"/>
      <c r="HN1134" s="609"/>
      <c r="HO1134" s="609"/>
      <c r="HP1134" s="609"/>
      <c r="HQ1134" s="609"/>
      <c r="HR1134" s="609"/>
      <c r="HS1134" s="609"/>
      <c r="HT1134" s="609"/>
      <c r="HU1134" s="609"/>
      <c r="HV1134" s="609"/>
      <c r="HW1134" s="609"/>
      <c r="HX1134" s="609"/>
      <c r="HY1134" s="609"/>
      <c r="HZ1134" s="609"/>
      <c r="IA1134" s="609"/>
      <c r="IB1134" s="609"/>
      <c r="IC1134" s="609"/>
      <c r="ID1134" s="609"/>
      <c r="IE1134" s="609"/>
      <c r="IF1134" s="609"/>
      <c r="IG1134" s="609"/>
      <c r="IH1134" s="609"/>
      <c r="II1134" s="609"/>
      <c r="IJ1134" s="609"/>
      <c r="IK1134" s="609"/>
      <c r="IL1134" s="609"/>
      <c r="IM1134" s="609"/>
      <c r="IN1134" s="609"/>
      <c r="IO1134" s="609"/>
      <c r="IP1134" s="609"/>
      <c r="IQ1134" s="609"/>
      <c r="IR1134" s="609"/>
      <c r="IS1134" s="609"/>
      <c r="IT1134" s="609"/>
      <c r="IU1134" s="609"/>
      <c r="IV1134" s="609"/>
    </row>
    <row r="1135" spans="1:256" s="642" customFormat="1" x14ac:dyDescent="0.25">
      <c r="A1135" s="634" t="s">
        <v>277</v>
      </c>
      <c r="B1135" s="634">
        <v>247</v>
      </c>
      <c r="C1135" s="636"/>
      <c r="D1135" s="635" t="s">
        <v>1070</v>
      </c>
      <c r="E1135" s="636" t="s">
        <v>229</v>
      </c>
      <c r="F1135" s="612">
        <v>0.4</v>
      </c>
      <c r="G1135" s="681">
        <v>9.65</v>
      </c>
      <c r="H1135" s="612"/>
      <c r="I1135" s="695"/>
      <c r="J1135" s="695">
        <f>ROUND(F1135*G1135,2)</f>
        <v>3.86</v>
      </c>
      <c r="K1135" s="695"/>
      <c r="L1135" s="695"/>
      <c r="M1135" s="695"/>
      <c r="N1135" s="695"/>
      <c r="O1135" s="695"/>
      <c r="P1135" s="695"/>
      <c r="Q1135" s="609"/>
      <c r="R1135" s="609"/>
      <c r="S1135" s="609"/>
      <c r="T1135" s="609"/>
      <c r="U1135" s="609"/>
      <c r="V1135" s="609"/>
      <c r="W1135" s="609"/>
      <c r="X1135" s="609"/>
      <c r="Y1135" s="609"/>
      <c r="Z1135" s="609"/>
      <c r="AA1135" s="609"/>
      <c r="AB1135" s="609"/>
      <c r="AC1135" s="609"/>
      <c r="AD1135" s="609"/>
      <c r="AE1135" s="609"/>
      <c r="AF1135" s="609"/>
      <c r="AG1135" s="609"/>
      <c r="AH1135" s="609"/>
      <c r="AI1135" s="609"/>
      <c r="AJ1135" s="609"/>
      <c r="AK1135" s="609"/>
      <c r="AL1135" s="609"/>
      <c r="AM1135" s="609"/>
      <c r="AN1135" s="609"/>
      <c r="AO1135" s="609"/>
      <c r="AP1135" s="609"/>
      <c r="AQ1135" s="609"/>
      <c r="AR1135" s="609"/>
      <c r="AS1135" s="609"/>
      <c r="AT1135" s="609"/>
      <c r="AU1135" s="609"/>
      <c r="AV1135" s="609"/>
      <c r="AW1135" s="609"/>
      <c r="AX1135" s="609"/>
      <c r="AY1135" s="609"/>
      <c r="AZ1135" s="609"/>
      <c r="BA1135" s="609"/>
      <c r="BB1135" s="609"/>
      <c r="BC1135" s="609"/>
      <c r="BD1135" s="609"/>
      <c r="BE1135" s="609"/>
      <c r="BF1135" s="609"/>
      <c r="BG1135" s="609"/>
      <c r="BH1135" s="609"/>
      <c r="BI1135" s="609"/>
      <c r="BJ1135" s="609"/>
      <c r="BK1135" s="609"/>
      <c r="BL1135" s="609"/>
      <c r="BM1135" s="609"/>
      <c r="BN1135" s="609"/>
      <c r="BO1135" s="609"/>
      <c r="BP1135" s="609"/>
      <c r="BQ1135" s="609"/>
      <c r="BR1135" s="609"/>
      <c r="BS1135" s="609"/>
      <c r="BT1135" s="609"/>
      <c r="BU1135" s="609"/>
      <c r="BV1135" s="609"/>
      <c r="BW1135" s="609"/>
      <c r="BX1135" s="609"/>
      <c r="BY1135" s="609"/>
      <c r="BZ1135" s="609"/>
      <c r="CA1135" s="609"/>
      <c r="CB1135" s="609"/>
      <c r="CC1135" s="609"/>
      <c r="CD1135" s="609"/>
      <c r="CE1135" s="609"/>
      <c r="CF1135" s="609"/>
      <c r="CG1135" s="609"/>
      <c r="CH1135" s="609"/>
      <c r="CI1135" s="609"/>
      <c r="CJ1135" s="609"/>
      <c r="CK1135" s="609"/>
      <c r="CL1135" s="609"/>
      <c r="CM1135" s="609"/>
      <c r="CN1135" s="609"/>
      <c r="CO1135" s="609"/>
      <c r="CP1135" s="609"/>
      <c r="CQ1135" s="609"/>
      <c r="CR1135" s="609"/>
      <c r="CS1135" s="609"/>
      <c r="CT1135" s="609"/>
      <c r="CU1135" s="609"/>
      <c r="CV1135" s="609"/>
      <c r="CW1135" s="609"/>
      <c r="CX1135" s="609"/>
      <c r="CY1135" s="609"/>
      <c r="CZ1135" s="609"/>
      <c r="DA1135" s="609"/>
      <c r="DB1135" s="609"/>
      <c r="DC1135" s="609"/>
      <c r="DD1135" s="609"/>
      <c r="DE1135" s="609"/>
      <c r="DF1135" s="609"/>
      <c r="DG1135" s="609"/>
      <c r="DH1135" s="609"/>
      <c r="DI1135" s="609"/>
      <c r="DJ1135" s="609"/>
      <c r="DK1135" s="609"/>
      <c r="DL1135" s="609"/>
      <c r="DM1135" s="609"/>
      <c r="DN1135" s="609"/>
      <c r="DO1135" s="609"/>
      <c r="DP1135" s="609"/>
      <c r="DQ1135" s="609"/>
      <c r="DR1135" s="609"/>
      <c r="DS1135" s="609"/>
      <c r="DT1135" s="609"/>
      <c r="DU1135" s="609"/>
      <c r="DV1135" s="609"/>
      <c r="DW1135" s="609"/>
      <c r="DX1135" s="609"/>
      <c r="DY1135" s="609"/>
      <c r="DZ1135" s="609"/>
      <c r="EA1135" s="609"/>
      <c r="EB1135" s="609"/>
      <c r="EC1135" s="609"/>
      <c r="ED1135" s="609"/>
      <c r="EE1135" s="609"/>
      <c r="EF1135" s="609"/>
      <c r="EG1135" s="609"/>
      <c r="EH1135" s="609"/>
      <c r="EI1135" s="609"/>
      <c r="EJ1135" s="609"/>
      <c r="EK1135" s="609"/>
      <c r="EL1135" s="609"/>
      <c r="EM1135" s="609"/>
      <c r="EN1135" s="609"/>
      <c r="EO1135" s="609"/>
      <c r="EP1135" s="609"/>
      <c r="EQ1135" s="609"/>
      <c r="ER1135" s="609"/>
      <c r="ES1135" s="609"/>
      <c r="ET1135" s="609"/>
      <c r="EU1135" s="609"/>
      <c r="EV1135" s="609"/>
      <c r="EW1135" s="609"/>
      <c r="EX1135" s="609"/>
      <c r="EY1135" s="609"/>
      <c r="EZ1135" s="609"/>
      <c r="FA1135" s="609"/>
      <c r="FB1135" s="609"/>
      <c r="FC1135" s="609"/>
      <c r="FD1135" s="609"/>
      <c r="FE1135" s="609"/>
      <c r="FF1135" s="609"/>
      <c r="FG1135" s="609"/>
      <c r="FH1135" s="609"/>
      <c r="FI1135" s="609"/>
      <c r="FJ1135" s="609"/>
      <c r="FK1135" s="609"/>
      <c r="FL1135" s="609"/>
      <c r="FM1135" s="609"/>
      <c r="FN1135" s="609"/>
      <c r="FO1135" s="609"/>
      <c r="FP1135" s="609"/>
      <c r="FQ1135" s="609"/>
      <c r="FR1135" s="609"/>
      <c r="FS1135" s="609"/>
      <c r="FT1135" s="609"/>
      <c r="FU1135" s="609"/>
      <c r="FV1135" s="609"/>
      <c r="FW1135" s="609"/>
      <c r="FX1135" s="609"/>
      <c r="FY1135" s="609"/>
      <c r="FZ1135" s="609"/>
      <c r="GA1135" s="609"/>
      <c r="GB1135" s="609"/>
      <c r="GC1135" s="609"/>
      <c r="GD1135" s="609"/>
      <c r="GE1135" s="609"/>
      <c r="GF1135" s="609"/>
      <c r="GG1135" s="609"/>
      <c r="GH1135" s="609"/>
      <c r="GI1135" s="609"/>
      <c r="GJ1135" s="609"/>
      <c r="GK1135" s="609"/>
      <c r="GL1135" s="609"/>
      <c r="GM1135" s="609"/>
      <c r="GN1135" s="609"/>
      <c r="GO1135" s="609"/>
      <c r="GP1135" s="609"/>
      <c r="GQ1135" s="609"/>
      <c r="GR1135" s="609"/>
      <c r="GS1135" s="609"/>
      <c r="GT1135" s="609"/>
      <c r="GU1135" s="609"/>
      <c r="GV1135" s="609"/>
      <c r="GW1135" s="609"/>
      <c r="GX1135" s="609"/>
      <c r="GY1135" s="609"/>
      <c r="GZ1135" s="609"/>
      <c r="HA1135" s="609"/>
      <c r="HB1135" s="609"/>
      <c r="HC1135" s="609"/>
      <c r="HD1135" s="609"/>
      <c r="HE1135" s="609"/>
      <c r="HF1135" s="609"/>
      <c r="HG1135" s="609"/>
      <c r="HH1135" s="609"/>
      <c r="HI1135" s="609"/>
      <c r="HJ1135" s="609"/>
      <c r="HK1135" s="609"/>
      <c r="HL1135" s="609"/>
      <c r="HM1135" s="609"/>
      <c r="HN1135" s="609"/>
      <c r="HO1135" s="609"/>
      <c r="HP1135" s="609"/>
      <c r="HQ1135" s="609"/>
      <c r="HR1135" s="609"/>
      <c r="HS1135" s="609"/>
      <c r="HT1135" s="609"/>
      <c r="HU1135" s="609"/>
      <c r="HV1135" s="609"/>
      <c r="HW1135" s="609"/>
      <c r="HX1135" s="609"/>
      <c r="HY1135" s="609"/>
      <c r="HZ1135" s="609"/>
      <c r="IA1135" s="609"/>
      <c r="IB1135" s="609"/>
      <c r="IC1135" s="609"/>
      <c r="ID1135" s="609"/>
      <c r="IE1135" s="609"/>
      <c r="IF1135" s="609"/>
      <c r="IG1135" s="609"/>
      <c r="IH1135" s="609"/>
      <c r="II1135" s="609"/>
      <c r="IJ1135" s="609"/>
      <c r="IK1135" s="609"/>
      <c r="IL1135" s="609"/>
      <c r="IM1135" s="609"/>
      <c r="IN1135" s="609"/>
      <c r="IO1135" s="609"/>
      <c r="IP1135" s="609"/>
      <c r="IQ1135" s="609"/>
      <c r="IR1135" s="609"/>
      <c r="IS1135" s="609"/>
      <c r="IT1135" s="609"/>
      <c r="IU1135" s="609"/>
      <c r="IV1135" s="609"/>
    </row>
    <row r="1136" spans="1:256" s="642" customFormat="1" ht="24" x14ac:dyDescent="0.25">
      <c r="A1136" s="675"/>
      <c r="B1136" s="675"/>
      <c r="C1136" s="675" t="s">
        <v>1815</v>
      </c>
      <c r="D1136" s="620" t="s">
        <v>1816</v>
      </c>
      <c r="E1136" s="675" t="s">
        <v>251</v>
      </c>
      <c r="F1136" s="620"/>
      <c r="G1136" s="622"/>
      <c r="H1136" s="620">
        <v>3</v>
      </c>
      <c r="I1136" s="677">
        <f>SUM(I1137:I1139)</f>
        <v>24.57</v>
      </c>
      <c r="J1136" s="677">
        <f>SUM(J1137:J1139)</f>
        <v>10.34</v>
      </c>
      <c r="K1136" s="665">
        <f>I1136+J1136</f>
        <v>34.909999999999997</v>
      </c>
      <c r="L1136" s="622">
        <f>H1136*I1136</f>
        <v>73.710000000000008</v>
      </c>
      <c r="M1136" s="622">
        <f>H1136*J1136</f>
        <v>31.02</v>
      </c>
      <c r="N1136" s="622">
        <f>L1136+M1136</f>
        <v>104.73</v>
      </c>
      <c r="O1136" s="622">
        <f>N1136*$P$4</f>
        <v>25.721688000000004</v>
      </c>
      <c r="P1136" s="622">
        <f>N1136+O1136</f>
        <v>130.45168800000002</v>
      </c>
      <c r="Q1136" s="609"/>
      <c r="R1136" s="609"/>
      <c r="S1136" s="609"/>
      <c r="T1136" s="609"/>
      <c r="U1136" s="609"/>
      <c r="V1136" s="609"/>
      <c r="W1136" s="609"/>
      <c r="X1136" s="609"/>
      <c r="Y1136" s="609"/>
      <c r="Z1136" s="609"/>
      <c r="AA1136" s="609"/>
      <c r="AB1136" s="609"/>
      <c r="AC1136" s="609"/>
      <c r="AD1136" s="609"/>
      <c r="AE1136" s="609"/>
      <c r="AF1136" s="609"/>
      <c r="AG1136" s="609"/>
      <c r="AH1136" s="609"/>
      <c r="AI1136" s="609"/>
      <c r="AJ1136" s="609"/>
      <c r="AK1136" s="609"/>
      <c r="AL1136" s="609"/>
      <c r="AM1136" s="609"/>
      <c r="AN1136" s="609"/>
      <c r="AO1136" s="609"/>
      <c r="AP1136" s="609"/>
      <c r="AQ1136" s="609"/>
      <c r="AR1136" s="609"/>
      <c r="AS1136" s="609"/>
      <c r="AT1136" s="609"/>
      <c r="AU1136" s="609"/>
      <c r="AV1136" s="609"/>
      <c r="AW1136" s="609"/>
      <c r="AX1136" s="609"/>
      <c r="AY1136" s="609"/>
      <c r="AZ1136" s="609"/>
      <c r="BA1136" s="609"/>
      <c r="BB1136" s="609"/>
      <c r="BC1136" s="609"/>
      <c r="BD1136" s="609"/>
      <c r="BE1136" s="609"/>
      <c r="BF1136" s="609"/>
      <c r="BG1136" s="609"/>
      <c r="BH1136" s="609"/>
      <c r="BI1136" s="609"/>
      <c r="BJ1136" s="609"/>
      <c r="BK1136" s="609"/>
      <c r="BL1136" s="609"/>
      <c r="BM1136" s="609"/>
      <c r="BN1136" s="609"/>
      <c r="BO1136" s="609"/>
      <c r="BP1136" s="609"/>
      <c r="BQ1136" s="609"/>
      <c r="BR1136" s="609"/>
      <c r="BS1136" s="609"/>
      <c r="BT1136" s="609"/>
      <c r="BU1136" s="609"/>
      <c r="BV1136" s="609"/>
      <c r="BW1136" s="609"/>
      <c r="BX1136" s="609"/>
      <c r="BY1136" s="609"/>
      <c r="BZ1136" s="609"/>
      <c r="CA1136" s="609"/>
      <c r="CB1136" s="609"/>
      <c r="CC1136" s="609"/>
      <c r="CD1136" s="609"/>
      <c r="CE1136" s="609"/>
      <c r="CF1136" s="609"/>
      <c r="CG1136" s="609"/>
      <c r="CH1136" s="609"/>
      <c r="CI1136" s="609"/>
      <c r="CJ1136" s="609"/>
      <c r="CK1136" s="609"/>
      <c r="CL1136" s="609"/>
      <c r="CM1136" s="609"/>
      <c r="CN1136" s="609"/>
      <c r="CO1136" s="609"/>
      <c r="CP1136" s="609"/>
      <c r="CQ1136" s="609"/>
      <c r="CR1136" s="609"/>
      <c r="CS1136" s="609"/>
      <c r="CT1136" s="609"/>
      <c r="CU1136" s="609"/>
      <c r="CV1136" s="609"/>
      <c r="CW1136" s="609"/>
      <c r="CX1136" s="609"/>
      <c r="CY1136" s="609"/>
      <c r="CZ1136" s="609"/>
      <c r="DA1136" s="609"/>
      <c r="DB1136" s="609"/>
      <c r="DC1136" s="609"/>
      <c r="DD1136" s="609"/>
      <c r="DE1136" s="609"/>
      <c r="DF1136" s="609"/>
      <c r="DG1136" s="609"/>
      <c r="DH1136" s="609"/>
      <c r="DI1136" s="609"/>
      <c r="DJ1136" s="609"/>
      <c r="DK1136" s="609"/>
      <c r="DL1136" s="609"/>
      <c r="DM1136" s="609"/>
      <c r="DN1136" s="609"/>
      <c r="DO1136" s="609"/>
      <c r="DP1136" s="609"/>
      <c r="DQ1136" s="609"/>
      <c r="DR1136" s="609"/>
      <c r="DS1136" s="609"/>
      <c r="DT1136" s="609"/>
      <c r="DU1136" s="609"/>
      <c r="DV1136" s="609"/>
      <c r="DW1136" s="609"/>
      <c r="DX1136" s="609"/>
      <c r="DY1136" s="609"/>
      <c r="DZ1136" s="609"/>
      <c r="EA1136" s="609"/>
      <c r="EB1136" s="609"/>
      <c r="EC1136" s="609"/>
      <c r="ED1136" s="609"/>
      <c r="EE1136" s="609"/>
      <c r="EF1136" s="609"/>
      <c r="EG1136" s="609"/>
      <c r="EH1136" s="609"/>
      <c r="EI1136" s="609"/>
      <c r="EJ1136" s="609"/>
      <c r="EK1136" s="609"/>
      <c r="EL1136" s="609"/>
      <c r="EM1136" s="609"/>
      <c r="EN1136" s="609"/>
      <c r="EO1136" s="609"/>
      <c r="EP1136" s="609"/>
      <c r="EQ1136" s="609"/>
      <c r="ER1136" s="609"/>
      <c r="ES1136" s="609"/>
      <c r="ET1136" s="609"/>
      <c r="EU1136" s="609"/>
      <c r="EV1136" s="609"/>
      <c r="EW1136" s="609"/>
      <c r="EX1136" s="609"/>
      <c r="EY1136" s="609"/>
      <c r="EZ1136" s="609"/>
      <c r="FA1136" s="609"/>
      <c r="FB1136" s="609"/>
      <c r="FC1136" s="609"/>
      <c r="FD1136" s="609"/>
      <c r="FE1136" s="609"/>
      <c r="FF1136" s="609"/>
      <c r="FG1136" s="609"/>
      <c r="FH1136" s="609"/>
      <c r="FI1136" s="609"/>
      <c r="FJ1136" s="609"/>
      <c r="FK1136" s="609"/>
      <c r="FL1136" s="609"/>
      <c r="FM1136" s="609"/>
      <c r="FN1136" s="609"/>
      <c r="FO1136" s="609"/>
      <c r="FP1136" s="609"/>
      <c r="FQ1136" s="609"/>
      <c r="FR1136" s="609"/>
      <c r="FS1136" s="609"/>
      <c r="FT1136" s="609"/>
      <c r="FU1136" s="609"/>
      <c r="FV1136" s="609"/>
      <c r="FW1136" s="609"/>
      <c r="FX1136" s="609"/>
      <c r="FY1136" s="609"/>
      <c r="FZ1136" s="609"/>
      <c r="GA1136" s="609"/>
      <c r="GB1136" s="609"/>
      <c r="GC1136" s="609"/>
      <c r="GD1136" s="609"/>
      <c r="GE1136" s="609"/>
      <c r="GF1136" s="609"/>
      <c r="GG1136" s="609"/>
      <c r="GH1136" s="609"/>
      <c r="GI1136" s="609"/>
      <c r="GJ1136" s="609"/>
      <c r="GK1136" s="609"/>
      <c r="GL1136" s="609"/>
      <c r="GM1136" s="609"/>
      <c r="GN1136" s="609"/>
      <c r="GO1136" s="609"/>
      <c r="GP1136" s="609"/>
      <c r="GQ1136" s="609"/>
      <c r="GR1136" s="609"/>
      <c r="GS1136" s="609"/>
      <c r="GT1136" s="609"/>
      <c r="GU1136" s="609"/>
      <c r="GV1136" s="609"/>
      <c r="GW1136" s="609"/>
      <c r="GX1136" s="609"/>
      <c r="GY1136" s="609"/>
      <c r="GZ1136" s="609"/>
      <c r="HA1136" s="609"/>
      <c r="HB1136" s="609"/>
      <c r="HC1136" s="609"/>
      <c r="HD1136" s="609"/>
      <c r="HE1136" s="609"/>
      <c r="HF1136" s="609"/>
      <c r="HG1136" s="609"/>
      <c r="HH1136" s="609"/>
      <c r="HI1136" s="609"/>
      <c r="HJ1136" s="609"/>
      <c r="HK1136" s="609"/>
      <c r="HL1136" s="609"/>
      <c r="HM1136" s="609"/>
      <c r="HN1136" s="609"/>
      <c r="HO1136" s="609"/>
      <c r="HP1136" s="609"/>
      <c r="HQ1136" s="609"/>
      <c r="HR1136" s="609"/>
      <c r="HS1136" s="609"/>
      <c r="HT1136" s="609"/>
      <c r="HU1136" s="609"/>
      <c r="HV1136" s="609"/>
      <c r="HW1136" s="609"/>
      <c r="HX1136" s="609"/>
      <c r="HY1136" s="609"/>
      <c r="HZ1136" s="609"/>
      <c r="IA1136" s="609"/>
      <c r="IB1136" s="609"/>
      <c r="IC1136" s="609"/>
      <c r="ID1136" s="609"/>
      <c r="IE1136" s="609"/>
      <c r="IF1136" s="609"/>
      <c r="IG1136" s="609"/>
      <c r="IH1136" s="609"/>
      <c r="II1136" s="609"/>
      <c r="IJ1136" s="609"/>
      <c r="IK1136" s="609"/>
      <c r="IL1136" s="609"/>
      <c r="IM1136" s="609"/>
      <c r="IN1136" s="609"/>
      <c r="IO1136" s="609"/>
      <c r="IP1136" s="609"/>
      <c r="IQ1136" s="609"/>
      <c r="IR1136" s="609"/>
      <c r="IS1136" s="609"/>
      <c r="IT1136" s="609"/>
      <c r="IU1136" s="609"/>
      <c r="IV1136" s="609"/>
    </row>
    <row r="1137" spans="1:256" s="721" customFormat="1" ht="24" x14ac:dyDescent="0.25">
      <c r="A1137" s="692" t="s">
        <v>1705</v>
      </c>
      <c r="B1137" s="679"/>
      <c r="C1137" s="725"/>
      <c r="D1137" s="726" t="s">
        <v>1816</v>
      </c>
      <c r="E1137" s="725" t="s">
        <v>251</v>
      </c>
      <c r="F1137" s="625">
        <v>1</v>
      </c>
      <c r="G1137" s="681">
        <v>24.57</v>
      </c>
      <c r="H1137" s="625"/>
      <c r="I1137" s="728">
        <f>ROUND(F1137*G1137,2)</f>
        <v>24.57</v>
      </c>
      <c r="J1137" s="728" t="s">
        <v>1207</v>
      </c>
      <c r="K1137" s="728"/>
      <c r="L1137" s="728"/>
      <c r="M1137" s="728"/>
      <c r="N1137" s="728"/>
      <c r="O1137" s="728"/>
      <c r="P1137" s="728"/>
      <c r="Q1137" s="652"/>
      <c r="R1137" s="652"/>
      <c r="S1137" s="652"/>
      <c r="T1137" s="652"/>
      <c r="U1137" s="652"/>
      <c r="V1137" s="652"/>
      <c r="W1137" s="652"/>
      <c r="X1137" s="652"/>
      <c r="Y1137" s="652"/>
      <c r="Z1137" s="652"/>
      <c r="AA1137" s="652"/>
      <c r="AB1137" s="652"/>
      <c r="AC1137" s="652"/>
      <c r="AD1137" s="652"/>
      <c r="AE1137" s="652"/>
      <c r="AF1137" s="652"/>
      <c r="AG1137" s="652"/>
      <c r="AH1137" s="652"/>
      <c r="AI1137" s="652"/>
      <c r="AJ1137" s="652"/>
      <c r="AK1137" s="652"/>
      <c r="AL1137" s="652"/>
      <c r="AM1137" s="652"/>
      <c r="AN1137" s="652"/>
      <c r="AO1137" s="652"/>
      <c r="AP1137" s="652"/>
      <c r="AQ1137" s="652"/>
      <c r="AR1137" s="652"/>
      <c r="AS1137" s="652"/>
      <c r="AT1137" s="652"/>
      <c r="AU1137" s="652"/>
      <c r="AV1137" s="652"/>
      <c r="AW1137" s="652"/>
      <c r="AX1137" s="652"/>
      <c r="AY1137" s="652"/>
      <c r="AZ1137" s="652"/>
      <c r="BA1137" s="652"/>
      <c r="BB1137" s="652"/>
      <c r="BC1137" s="652"/>
      <c r="BD1137" s="652"/>
      <c r="BE1137" s="652"/>
      <c r="BF1137" s="652"/>
      <c r="BG1137" s="652"/>
      <c r="BH1137" s="652"/>
      <c r="BI1137" s="652"/>
      <c r="BJ1137" s="652"/>
      <c r="BK1137" s="652"/>
      <c r="BL1137" s="652"/>
      <c r="BM1137" s="652"/>
      <c r="BN1137" s="652"/>
      <c r="BO1137" s="652"/>
      <c r="BP1137" s="652"/>
      <c r="BQ1137" s="652"/>
      <c r="BR1137" s="652"/>
      <c r="BS1137" s="652"/>
      <c r="BT1137" s="652"/>
      <c r="BU1137" s="652"/>
      <c r="BV1137" s="652"/>
      <c r="BW1137" s="652"/>
      <c r="BX1137" s="652"/>
      <c r="BY1137" s="652"/>
      <c r="BZ1137" s="652"/>
      <c r="CA1137" s="652"/>
      <c r="CB1137" s="652"/>
      <c r="CC1137" s="652"/>
      <c r="CD1137" s="652"/>
      <c r="CE1137" s="652"/>
      <c r="CF1137" s="652"/>
      <c r="CG1137" s="652"/>
      <c r="CH1137" s="652"/>
      <c r="CI1137" s="652"/>
      <c r="CJ1137" s="652"/>
      <c r="CK1137" s="652"/>
      <c r="CL1137" s="652"/>
      <c r="CM1137" s="652"/>
      <c r="CN1137" s="652"/>
      <c r="CO1137" s="652"/>
      <c r="CP1137" s="652"/>
      <c r="CQ1137" s="652"/>
      <c r="CR1137" s="652"/>
      <c r="CS1137" s="652"/>
      <c r="CT1137" s="652"/>
      <c r="CU1137" s="652"/>
      <c r="CV1137" s="652"/>
      <c r="CW1137" s="652"/>
      <c r="CX1137" s="652"/>
      <c r="CY1137" s="652"/>
      <c r="CZ1137" s="652"/>
      <c r="DA1137" s="652"/>
      <c r="DB1137" s="652"/>
      <c r="DC1137" s="652"/>
      <c r="DD1137" s="652"/>
      <c r="DE1137" s="652"/>
      <c r="DF1137" s="652"/>
      <c r="DG1137" s="652"/>
      <c r="DH1137" s="652"/>
      <c r="DI1137" s="652"/>
      <c r="DJ1137" s="652"/>
      <c r="DK1137" s="652"/>
      <c r="DL1137" s="652"/>
      <c r="DM1137" s="652"/>
      <c r="DN1137" s="652"/>
      <c r="DO1137" s="652"/>
      <c r="DP1137" s="652"/>
      <c r="DQ1137" s="652"/>
      <c r="DR1137" s="652"/>
      <c r="DS1137" s="652"/>
      <c r="DT1137" s="652"/>
      <c r="DU1137" s="652"/>
      <c r="DV1137" s="652"/>
      <c r="DW1137" s="652"/>
      <c r="DX1137" s="652"/>
      <c r="DY1137" s="652"/>
      <c r="DZ1137" s="652"/>
      <c r="EA1137" s="652"/>
      <c r="EB1137" s="652"/>
      <c r="EC1137" s="652"/>
      <c r="ED1137" s="652"/>
      <c r="EE1137" s="652"/>
      <c r="EF1137" s="652"/>
      <c r="EG1137" s="652"/>
      <c r="EH1137" s="652"/>
      <c r="EI1137" s="652"/>
      <c r="EJ1137" s="652"/>
      <c r="EK1137" s="652"/>
      <c r="EL1137" s="652"/>
      <c r="EM1137" s="652"/>
      <c r="EN1137" s="652"/>
      <c r="EO1137" s="652"/>
      <c r="EP1137" s="652"/>
      <c r="EQ1137" s="652"/>
      <c r="ER1137" s="652"/>
      <c r="ES1137" s="652"/>
      <c r="ET1137" s="652"/>
      <c r="EU1137" s="652"/>
      <c r="EV1137" s="652"/>
      <c r="EW1137" s="652"/>
      <c r="EX1137" s="652"/>
      <c r="EY1137" s="652"/>
      <c r="EZ1137" s="652"/>
      <c r="FA1137" s="652"/>
      <c r="FB1137" s="652"/>
      <c r="FC1137" s="652"/>
      <c r="FD1137" s="652"/>
      <c r="FE1137" s="652"/>
      <c r="FF1137" s="652"/>
      <c r="FG1137" s="652"/>
      <c r="FH1137" s="652"/>
      <c r="FI1137" s="652"/>
      <c r="FJ1137" s="652"/>
      <c r="FK1137" s="652"/>
      <c r="FL1137" s="652"/>
      <c r="FM1137" s="652"/>
      <c r="FN1137" s="652"/>
      <c r="FO1137" s="652"/>
      <c r="FP1137" s="652"/>
      <c r="FQ1137" s="652"/>
      <c r="FR1137" s="652"/>
      <c r="FS1137" s="652"/>
      <c r="FT1137" s="652"/>
      <c r="FU1137" s="652"/>
      <c r="FV1137" s="652"/>
      <c r="FW1137" s="652"/>
      <c r="FX1137" s="652"/>
      <c r="FY1137" s="652"/>
      <c r="FZ1137" s="652"/>
      <c r="GA1137" s="652"/>
      <c r="GB1137" s="652"/>
      <c r="GC1137" s="652"/>
      <c r="GD1137" s="652"/>
      <c r="GE1137" s="652"/>
      <c r="GF1137" s="652"/>
      <c r="GG1137" s="652"/>
      <c r="GH1137" s="652"/>
      <c r="GI1137" s="652"/>
      <c r="GJ1137" s="652"/>
      <c r="GK1137" s="652"/>
      <c r="GL1137" s="652"/>
      <c r="GM1137" s="652"/>
      <c r="GN1137" s="652"/>
      <c r="GO1137" s="652"/>
      <c r="GP1137" s="652"/>
      <c r="GQ1137" s="652"/>
      <c r="GR1137" s="652"/>
      <c r="GS1137" s="652"/>
      <c r="GT1137" s="652"/>
      <c r="GU1137" s="652"/>
      <c r="GV1137" s="652"/>
      <c r="GW1137" s="652"/>
      <c r="GX1137" s="652"/>
      <c r="GY1137" s="652"/>
      <c r="GZ1137" s="652"/>
      <c r="HA1137" s="652"/>
      <c r="HB1137" s="652"/>
      <c r="HC1137" s="652"/>
      <c r="HD1137" s="652"/>
      <c r="HE1137" s="652"/>
      <c r="HF1137" s="652"/>
      <c r="HG1137" s="652"/>
      <c r="HH1137" s="652"/>
      <c r="HI1137" s="652"/>
      <c r="HJ1137" s="652"/>
      <c r="HK1137" s="652"/>
      <c r="HL1137" s="652"/>
      <c r="HM1137" s="652"/>
      <c r="HN1137" s="652"/>
      <c r="HO1137" s="652"/>
      <c r="HP1137" s="652"/>
      <c r="HQ1137" s="652"/>
      <c r="HR1137" s="652"/>
      <c r="HS1137" s="652"/>
      <c r="HT1137" s="652"/>
      <c r="HU1137" s="652"/>
      <c r="HV1137" s="652"/>
      <c r="HW1137" s="652"/>
      <c r="HX1137" s="652"/>
      <c r="HY1137" s="652"/>
      <c r="HZ1137" s="652"/>
      <c r="IA1137" s="652"/>
      <c r="IB1137" s="652"/>
      <c r="IC1137" s="652"/>
      <c r="ID1137" s="652"/>
      <c r="IE1137" s="652"/>
      <c r="IF1137" s="652"/>
      <c r="IG1137" s="652"/>
      <c r="IH1137" s="652"/>
      <c r="II1137" s="652"/>
      <c r="IJ1137" s="652"/>
      <c r="IK1137" s="652"/>
      <c r="IL1137" s="652"/>
      <c r="IM1137" s="652"/>
      <c r="IN1137" s="652"/>
      <c r="IO1137" s="652"/>
      <c r="IP1137" s="652"/>
      <c r="IQ1137" s="652"/>
      <c r="IR1137" s="652"/>
      <c r="IS1137" s="652"/>
      <c r="IT1137" s="652"/>
      <c r="IU1137" s="652"/>
      <c r="IV1137" s="652"/>
    </row>
    <row r="1138" spans="1:256" s="642" customFormat="1" x14ac:dyDescent="0.25">
      <c r="A1138" s="634" t="s">
        <v>277</v>
      </c>
      <c r="B1138" s="634">
        <v>2439</v>
      </c>
      <c r="C1138" s="636"/>
      <c r="D1138" s="612" t="s">
        <v>1707</v>
      </c>
      <c r="E1138" s="636" t="s">
        <v>229</v>
      </c>
      <c r="F1138" s="612">
        <v>0.4</v>
      </c>
      <c r="G1138" s="681">
        <v>16.2</v>
      </c>
      <c r="H1138" s="612"/>
      <c r="I1138" s="695"/>
      <c r="J1138" s="695">
        <f>ROUND(F1138*G1138,2)</f>
        <v>6.48</v>
      </c>
      <c r="K1138" s="695"/>
      <c r="L1138" s="695"/>
      <c r="M1138" s="695"/>
      <c r="N1138" s="695"/>
      <c r="O1138" s="695"/>
      <c r="P1138" s="695"/>
      <c r="Q1138" s="609"/>
      <c r="R1138" s="609"/>
      <c r="S1138" s="609"/>
      <c r="T1138" s="609"/>
      <c r="U1138" s="609"/>
      <c r="V1138" s="609"/>
      <c r="W1138" s="609"/>
      <c r="X1138" s="609"/>
      <c r="Y1138" s="609"/>
      <c r="Z1138" s="609"/>
      <c r="AA1138" s="609"/>
      <c r="AB1138" s="609"/>
      <c r="AC1138" s="609"/>
      <c r="AD1138" s="609"/>
      <c r="AE1138" s="609"/>
      <c r="AF1138" s="609"/>
      <c r="AG1138" s="609"/>
      <c r="AH1138" s="609"/>
      <c r="AI1138" s="609"/>
      <c r="AJ1138" s="609"/>
      <c r="AK1138" s="609"/>
      <c r="AL1138" s="609"/>
      <c r="AM1138" s="609"/>
      <c r="AN1138" s="609"/>
      <c r="AO1138" s="609"/>
      <c r="AP1138" s="609"/>
      <c r="AQ1138" s="609"/>
      <c r="AR1138" s="609"/>
      <c r="AS1138" s="609"/>
      <c r="AT1138" s="609"/>
      <c r="AU1138" s="609"/>
      <c r="AV1138" s="609"/>
      <c r="AW1138" s="609"/>
      <c r="AX1138" s="609"/>
      <c r="AY1138" s="609"/>
      <c r="AZ1138" s="609"/>
      <c r="BA1138" s="609"/>
      <c r="BB1138" s="609"/>
      <c r="BC1138" s="609"/>
      <c r="BD1138" s="609"/>
      <c r="BE1138" s="609"/>
      <c r="BF1138" s="609"/>
      <c r="BG1138" s="609"/>
      <c r="BH1138" s="609"/>
      <c r="BI1138" s="609"/>
      <c r="BJ1138" s="609"/>
      <c r="BK1138" s="609"/>
      <c r="BL1138" s="609"/>
      <c r="BM1138" s="609"/>
      <c r="BN1138" s="609"/>
      <c r="BO1138" s="609"/>
      <c r="BP1138" s="609"/>
      <c r="BQ1138" s="609"/>
      <c r="BR1138" s="609"/>
      <c r="BS1138" s="609"/>
      <c r="BT1138" s="609"/>
      <c r="BU1138" s="609"/>
      <c r="BV1138" s="609"/>
      <c r="BW1138" s="609"/>
      <c r="BX1138" s="609"/>
      <c r="BY1138" s="609"/>
      <c r="BZ1138" s="609"/>
      <c r="CA1138" s="609"/>
      <c r="CB1138" s="609"/>
      <c r="CC1138" s="609"/>
      <c r="CD1138" s="609"/>
      <c r="CE1138" s="609"/>
      <c r="CF1138" s="609"/>
      <c r="CG1138" s="609"/>
      <c r="CH1138" s="609"/>
      <c r="CI1138" s="609"/>
      <c r="CJ1138" s="609"/>
      <c r="CK1138" s="609"/>
      <c r="CL1138" s="609"/>
      <c r="CM1138" s="609"/>
      <c r="CN1138" s="609"/>
      <c r="CO1138" s="609"/>
      <c r="CP1138" s="609"/>
      <c r="CQ1138" s="609"/>
      <c r="CR1138" s="609"/>
      <c r="CS1138" s="609"/>
      <c r="CT1138" s="609"/>
      <c r="CU1138" s="609"/>
      <c r="CV1138" s="609"/>
      <c r="CW1138" s="609"/>
      <c r="CX1138" s="609"/>
      <c r="CY1138" s="609"/>
      <c r="CZ1138" s="609"/>
      <c r="DA1138" s="609"/>
      <c r="DB1138" s="609"/>
      <c r="DC1138" s="609"/>
      <c r="DD1138" s="609"/>
      <c r="DE1138" s="609"/>
      <c r="DF1138" s="609"/>
      <c r="DG1138" s="609"/>
      <c r="DH1138" s="609"/>
      <c r="DI1138" s="609"/>
      <c r="DJ1138" s="609"/>
      <c r="DK1138" s="609"/>
      <c r="DL1138" s="609"/>
      <c r="DM1138" s="609"/>
      <c r="DN1138" s="609"/>
      <c r="DO1138" s="609"/>
      <c r="DP1138" s="609"/>
      <c r="DQ1138" s="609"/>
      <c r="DR1138" s="609"/>
      <c r="DS1138" s="609"/>
      <c r="DT1138" s="609"/>
      <c r="DU1138" s="609"/>
      <c r="DV1138" s="609"/>
      <c r="DW1138" s="609"/>
      <c r="DX1138" s="609"/>
      <c r="DY1138" s="609"/>
      <c r="DZ1138" s="609"/>
      <c r="EA1138" s="609"/>
      <c r="EB1138" s="609"/>
      <c r="EC1138" s="609"/>
      <c r="ED1138" s="609"/>
      <c r="EE1138" s="609"/>
      <c r="EF1138" s="609"/>
      <c r="EG1138" s="609"/>
      <c r="EH1138" s="609"/>
      <c r="EI1138" s="609"/>
      <c r="EJ1138" s="609"/>
      <c r="EK1138" s="609"/>
      <c r="EL1138" s="609"/>
      <c r="EM1138" s="609"/>
      <c r="EN1138" s="609"/>
      <c r="EO1138" s="609"/>
      <c r="EP1138" s="609"/>
      <c r="EQ1138" s="609"/>
      <c r="ER1138" s="609"/>
      <c r="ES1138" s="609"/>
      <c r="ET1138" s="609"/>
      <c r="EU1138" s="609"/>
      <c r="EV1138" s="609"/>
      <c r="EW1138" s="609"/>
      <c r="EX1138" s="609"/>
      <c r="EY1138" s="609"/>
      <c r="EZ1138" s="609"/>
      <c r="FA1138" s="609"/>
      <c r="FB1138" s="609"/>
      <c r="FC1138" s="609"/>
      <c r="FD1138" s="609"/>
      <c r="FE1138" s="609"/>
      <c r="FF1138" s="609"/>
      <c r="FG1138" s="609"/>
      <c r="FH1138" s="609"/>
      <c r="FI1138" s="609"/>
      <c r="FJ1138" s="609"/>
      <c r="FK1138" s="609"/>
      <c r="FL1138" s="609"/>
      <c r="FM1138" s="609"/>
      <c r="FN1138" s="609"/>
      <c r="FO1138" s="609"/>
      <c r="FP1138" s="609"/>
      <c r="FQ1138" s="609"/>
      <c r="FR1138" s="609"/>
      <c r="FS1138" s="609"/>
      <c r="FT1138" s="609"/>
      <c r="FU1138" s="609"/>
      <c r="FV1138" s="609"/>
      <c r="FW1138" s="609"/>
      <c r="FX1138" s="609"/>
      <c r="FY1138" s="609"/>
      <c r="FZ1138" s="609"/>
      <c r="GA1138" s="609"/>
      <c r="GB1138" s="609"/>
      <c r="GC1138" s="609"/>
      <c r="GD1138" s="609"/>
      <c r="GE1138" s="609"/>
      <c r="GF1138" s="609"/>
      <c r="GG1138" s="609"/>
      <c r="GH1138" s="609"/>
      <c r="GI1138" s="609"/>
      <c r="GJ1138" s="609"/>
      <c r="GK1138" s="609"/>
      <c r="GL1138" s="609"/>
      <c r="GM1138" s="609"/>
      <c r="GN1138" s="609"/>
      <c r="GO1138" s="609"/>
      <c r="GP1138" s="609"/>
      <c r="GQ1138" s="609"/>
      <c r="GR1138" s="609"/>
      <c r="GS1138" s="609"/>
      <c r="GT1138" s="609"/>
      <c r="GU1138" s="609"/>
      <c r="GV1138" s="609"/>
      <c r="GW1138" s="609"/>
      <c r="GX1138" s="609"/>
      <c r="GY1138" s="609"/>
      <c r="GZ1138" s="609"/>
      <c r="HA1138" s="609"/>
      <c r="HB1138" s="609"/>
      <c r="HC1138" s="609"/>
      <c r="HD1138" s="609"/>
      <c r="HE1138" s="609"/>
      <c r="HF1138" s="609"/>
      <c r="HG1138" s="609"/>
      <c r="HH1138" s="609"/>
      <c r="HI1138" s="609"/>
      <c r="HJ1138" s="609"/>
      <c r="HK1138" s="609"/>
      <c r="HL1138" s="609"/>
      <c r="HM1138" s="609"/>
      <c r="HN1138" s="609"/>
      <c r="HO1138" s="609"/>
      <c r="HP1138" s="609"/>
      <c r="HQ1138" s="609"/>
      <c r="HR1138" s="609"/>
      <c r="HS1138" s="609"/>
      <c r="HT1138" s="609"/>
      <c r="HU1138" s="609"/>
      <c r="HV1138" s="609"/>
      <c r="HW1138" s="609"/>
      <c r="HX1138" s="609"/>
      <c r="HY1138" s="609"/>
      <c r="HZ1138" s="609"/>
      <c r="IA1138" s="609"/>
      <c r="IB1138" s="609"/>
      <c r="IC1138" s="609"/>
      <c r="ID1138" s="609"/>
      <c r="IE1138" s="609"/>
      <c r="IF1138" s="609"/>
      <c r="IG1138" s="609"/>
      <c r="IH1138" s="609"/>
      <c r="II1138" s="609"/>
      <c r="IJ1138" s="609"/>
      <c r="IK1138" s="609"/>
      <c r="IL1138" s="609"/>
      <c r="IM1138" s="609"/>
      <c r="IN1138" s="609"/>
      <c r="IO1138" s="609"/>
      <c r="IP1138" s="609"/>
      <c r="IQ1138" s="609"/>
      <c r="IR1138" s="609"/>
      <c r="IS1138" s="609"/>
      <c r="IT1138" s="609"/>
      <c r="IU1138" s="609"/>
      <c r="IV1138" s="609"/>
    </row>
    <row r="1139" spans="1:256" s="642" customFormat="1" x14ac:dyDescent="0.25">
      <c r="A1139" s="634" t="s">
        <v>277</v>
      </c>
      <c r="B1139" s="634">
        <v>247</v>
      </c>
      <c r="C1139" s="636"/>
      <c r="D1139" s="635" t="s">
        <v>1070</v>
      </c>
      <c r="E1139" s="636" t="s">
        <v>229</v>
      </c>
      <c r="F1139" s="612">
        <v>0.4</v>
      </c>
      <c r="G1139" s="681">
        <v>9.65</v>
      </c>
      <c r="H1139" s="612"/>
      <c r="I1139" s="695"/>
      <c r="J1139" s="695">
        <f>ROUND(F1139*G1139,2)</f>
        <v>3.86</v>
      </c>
      <c r="K1139" s="695"/>
      <c r="L1139" s="695"/>
      <c r="M1139" s="695"/>
      <c r="N1139" s="695"/>
      <c r="O1139" s="695"/>
      <c r="P1139" s="695"/>
      <c r="Q1139" s="609"/>
      <c r="R1139" s="609"/>
      <c r="S1139" s="609"/>
      <c r="T1139" s="609"/>
      <c r="U1139" s="609"/>
      <c r="V1139" s="609"/>
      <c r="W1139" s="609"/>
      <c r="X1139" s="609"/>
      <c r="Y1139" s="609"/>
      <c r="Z1139" s="609"/>
      <c r="AA1139" s="609"/>
      <c r="AB1139" s="609"/>
      <c r="AC1139" s="609"/>
      <c r="AD1139" s="609"/>
      <c r="AE1139" s="609"/>
      <c r="AF1139" s="609"/>
      <c r="AG1139" s="609"/>
      <c r="AH1139" s="609"/>
      <c r="AI1139" s="609"/>
      <c r="AJ1139" s="609"/>
      <c r="AK1139" s="609"/>
      <c r="AL1139" s="609"/>
      <c r="AM1139" s="609"/>
      <c r="AN1139" s="609"/>
      <c r="AO1139" s="609"/>
      <c r="AP1139" s="609"/>
      <c r="AQ1139" s="609"/>
      <c r="AR1139" s="609"/>
      <c r="AS1139" s="609"/>
      <c r="AT1139" s="609"/>
      <c r="AU1139" s="609"/>
      <c r="AV1139" s="609"/>
      <c r="AW1139" s="609"/>
      <c r="AX1139" s="609"/>
      <c r="AY1139" s="609"/>
      <c r="AZ1139" s="609"/>
      <c r="BA1139" s="609"/>
      <c r="BB1139" s="609"/>
      <c r="BC1139" s="609"/>
      <c r="BD1139" s="609"/>
      <c r="BE1139" s="609"/>
      <c r="BF1139" s="609"/>
      <c r="BG1139" s="609"/>
      <c r="BH1139" s="609"/>
      <c r="BI1139" s="609"/>
      <c r="BJ1139" s="609"/>
      <c r="BK1139" s="609"/>
      <c r="BL1139" s="609"/>
      <c r="BM1139" s="609"/>
      <c r="BN1139" s="609"/>
      <c r="BO1139" s="609"/>
      <c r="BP1139" s="609"/>
      <c r="BQ1139" s="609"/>
      <c r="BR1139" s="609"/>
      <c r="BS1139" s="609"/>
      <c r="BT1139" s="609"/>
      <c r="BU1139" s="609"/>
      <c r="BV1139" s="609"/>
      <c r="BW1139" s="609"/>
      <c r="BX1139" s="609"/>
      <c r="BY1139" s="609"/>
      <c r="BZ1139" s="609"/>
      <c r="CA1139" s="609"/>
      <c r="CB1139" s="609"/>
      <c r="CC1139" s="609"/>
      <c r="CD1139" s="609"/>
      <c r="CE1139" s="609"/>
      <c r="CF1139" s="609"/>
      <c r="CG1139" s="609"/>
      <c r="CH1139" s="609"/>
      <c r="CI1139" s="609"/>
      <c r="CJ1139" s="609"/>
      <c r="CK1139" s="609"/>
      <c r="CL1139" s="609"/>
      <c r="CM1139" s="609"/>
      <c r="CN1139" s="609"/>
      <c r="CO1139" s="609"/>
      <c r="CP1139" s="609"/>
      <c r="CQ1139" s="609"/>
      <c r="CR1139" s="609"/>
      <c r="CS1139" s="609"/>
      <c r="CT1139" s="609"/>
      <c r="CU1139" s="609"/>
      <c r="CV1139" s="609"/>
      <c r="CW1139" s="609"/>
      <c r="CX1139" s="609"/>
      <c r="CY1139" s="609"/>
      <c r="CZ1139" s="609"/>
      <c r="DA1139" s="609"/>
      <c r="DB1139" s="609"/>
      <c r="DC1139" s="609"/>
      <c r="DD1139" s="609"/>
      <c r="DE1139" s="609"/>
      <c r="DF1139" s="609"/>
      <c r="DG1139" s="609"/>
      <c r="DH1139" s="609"/>
      <c r="DI1139" s="609"/>
      <c r="DJ1139" s="609"/>
      <c r="DK1139" s="609"/>
      <c r="DL1139" s="609"/>
      <c r="DM1139" s="609"/>
      <c r="DN1139" s="609"/>
      <c r="DO1139" s="609"/>
      <c r="DP1139" s="609"/>
      <c r="DQ1139" s="609"/>
      <c r="DR1139" s="609"/>
      <c r="DS1139" s="609"/>
      <c r="DT1139" s="609"/>
      <c r="DU1139" s="609"/>
      <c r="DV1139" s="609"/>
      <c r="DW1139" s="609"/>
      <c r="DX1139" s="609"/>
      <c r="DY1139" s="609"/>
      <c r="DZ1139" s="609"/>
      <c r="EA1139" s="609"/>
      <c r="EB1139" s="609"/>
      <c r="EC1139" s="609"/>
      <c r="ED1139" s="609"/>
      <c r="EE1139" s="609"/>
      <c r="EF1139" s="609"/>
      <c r="EG1139" s="609"/>
      <c r="EH1139" s="609"/>
      <c r="EI1139" s="609"/>
      <c r="EJ1139" s="609"/>
      <c r="EK1139" s="609"/>
      <c r="EL1139" s="609"/>
      <c r="EM1139" s="609"/>
      <c r="EN1139" s="609"/>
      <c r="EO1139" s="609"/>
      <c r="EP1139" s="609"/>
      <c r="EQ1139" s="609"/>
      <c r="ER1139" s="609"/>
      <c r="ES1139" s="609"/>
      <c r="ET1139" s="609"/>
      <c r="EU1139" s="609"/>
      <c r="EV1139" s="609"/>
      <c r="EW1139" s="609"/>
      <c r="EX1139" s="609"/>
      <c r="EY1139" s="609"/>
      <c r="EZ1139" s="609"/>
      <c r="FA1139" s="609"/>
      <c r="FB1139" s="609"/>
      <c r="FC1139" s="609"/>
      <c r="FD1139" s="609"/>
      <c r="FE1139" s="609"/>
      <c r="FF1139" s="609"/>
      <c r="FG1139" s="609"/>
      <c r="FH1139" s="609"/>
      <c r="FI1139" s="609"/>
      <c r="FJ1139" s="609"/>
      <c r="FK1139" s="609"/>
      <c r="FL1139" s="609"/>
      <c r="FM1139" s="609"/>
      <c r="FN1139" s="609"/>
      <c r="FO1139" s="609"/>
      <c r="FP1139" s="609"/>
      <c r="FQ1139" s="609"/>
      <c r="FR1139" s="609"/>
      <c r="FS1139" s="609"/>
      <c r="FT1139" s="609"/>
      <c r="FU1139" s="609"/>
      <c r="FV1139" s="609"/>
      <c r="FW1139" s="609"/>
      <c r="FX1139" s="609"/>
      <c r="FY1139" s="609"/>
      <c r="FZ1139" s="609"/>
      <c r="GA1139" s="609"/>
      <c r="GB1139" s="609"/>
      <c r="GC1139" s="609"/>
      <c r="GD1139" s="609"/>
      <c r="GE1139" s="609"/>
      <c r="GF1139" s="609"/>
      <c r="GG1139" s="609"/>
      <c r="GH1139" s="609"/>
      <c r="GI1139" s="609"/>
      <c r="GJ1139" s="609"/>
      <c r="GK1139" s="609"/>
      <c r="GL1139" s="609"/>
      <c r="GM1139" s="609"/>
      <c r="GN1139" s="609"/>
      <c r="GO1139" s="609"/>
      <c r="GP1139" s="609"/>
      <c r="GQ1139" s="609"/>
      <c r="GR1139" s="609"/>
      <c r="GS1139" s="609"/>
      <c r="GT1139" s="609"/>
      <c r="GU1139" s="609"/>
      <c r="GV1139" s="609"/>
      <c r="GW1139" s="609"/>
      <c r="GX1139" s="609"/>
      <c r="GY1139" s="609"/>
      <c r="GZ1139" s="609"/>
      <c r="HA1139" s="609"/>
      <c r="HB1139" s="609"/>
      <c r="HC1139" s="609"/>
      <c r="HD1139" s="609"/>
      <c r="HE1139" s="609"/>
      <c r="HF1139" s="609"/>
      <c r="HG1139" s="609"/>
      <c r="HH1139" s="609"/>
      <c r="HI1139" s="609"/>
      <c r="HJ1139" s="609"/>
      <c r="HK1139" s="609"/>
      <c r="HL1139" s="609"/>
      <c r="HM1139" s="609"/>
      <c r="HN1139" s="609"/>
      <c r="HO1139" s="609"/>
      <c r="HP1139" s="609"/>
      <c r="HQ1139" s="609"/>
      <c r="HR1139" s="609"/>
      <c r="HS1139" s="609"/>
      <c r="HT1139" s="609"/>
      <c r="HU1139" s="609"/>
      <c r="HV1139" s="609"/>
      <c r="HW1139" s="609"/>
      <c r="HX1139" s="609"/>
      <c r="HY1139" s="609"/>
      <c r="HZ1139" s="609"/>
      <c r="IA1139" s="609"/>
      <c r="IB1139" s="609"/>
      <c r="IC1139" s="609"/>
      <c r="ID1139" s="609"/>
      <c r="IE1139" s="609"/>
      <c r="IF1139" s="609"/>
      <c r="IG1139" s="609"/>
      <c r="IH1139" s="609"/>
      <c r="II1139" s="609"/>
      <c r="IJ1139" s="609"/>
      <c r="IK1139" s="609"/>
      <c r="IL1139" s="609"/>
      <c r="IM1139" s="609"/>
      <c r="IN1139" s="609"/>
      <c r="IO1139" s="609"/>
      <c r="IP1139" s="609"/>
      <c r="IQ1139" s="609"/>
      <c r="IR1139" s="609"/>
      <c r="IS1139" s="609"/>
      <c r="IT1139" s="609"/>
      <c r="IU1139" s="609"/>
      <c r="IV1139" s="609"/>
    </row>
    <row r="1140" spans="1:256" s="642" customFormat="1" ht="24" x14ac:dyDescent="0.25">
      <c r="A1140" s="675"/>
      <c r="B1140" s="675"/>
      <c r="C1140" s="675" t="s">
        <v>1817</v>
      </c>
      <c r="D1140" s="620" t="s">
        <v>1818</v>
      </c>
      <c r="E1140" s="675" t="s">
        <v>251</v>
      </c>
      <c r="F1140" s="620"/>
      <c r="G1140" s="622"/>
      <c r="H1140" s="620">
        <v>10</v>
      </c>
      <c r="I1140" s="677">
        <f>SUM(I1141:I1143)</f>
        <v>241.79</v>
      </c>
      <c r="J1140" s="677">
        <f>SUM(J1141:J1143)</f>
        <v>10.34</v>
      </c>
      <c r="K1140" s="665">
        <f>I1140+J1140</f>
        <v>252.13</v>
      </c>
      <c r="L1140" s="622">
        <f>H1140*I1140</f>
        <v>2417.9</v>
      </c>
      <c r="M1140" s="622">
        <f>H1140*J1140</f>
        <v>103.4</v>
      </c>
      <c r="N1140" s="622">
        <f>L1140+M1140</f>
        <v>2521.3000000000002</v>
      </c>
      <c r="O1140" s="622">
        <f>N1140*$P$4</f>
        <v>619.23128000000008</v>
      </c>
      <c r="P1140" s="622">
        <f>N1140+O1140</f>
        <v>3140.5312800000002</v>
      </c>
      <c r="Q1140" s="609"/>
      <c r="R1140" s="609"/>
      <c r="S1140" s="609"/>
      <c r="T1140" s="609"/>
      <c r="U1140" s="609"/>
      <c r="V1140" s="609"/>
      <c r="W1140" s="609"/>
      <c r="X1140" s="609"/>
      <c r="Y1140" s="609"/>
      <c r="Z1140" s="609"/>
      <c r="AA1140" s="609"/>
      <c r="AB1140" s="609"/>
      <c r="AC1140" s="609"/>
      <c r="AD1140" s="609"/>
      <c r="AE1140" s="609"/>
      <c r="AF1140" s="609"/>
      <c r="AG1140" s="609"/>
      <c r="AH1140" s="609"/>
      <c r="AI1140" s="609"/>
      <c r="AJ1140" s="609"/>
      <c r="AK1140" s="609"/>
      <c r="AL1140" s="609"/>
      <c r="AM1140" s="609"/>
      <c r="AN1140" s="609"/>
      <c r="AO1140" s="609"/>
      <c r="AP1140" s="609"/>
      <c r="AQ1140" s="609"/>
      <c r="AR1140" s="609"/>
      <c r="AS1140" s="609"/>
      <c r="AT1140" s="609"/>
      <c r="AU1140" s="609"/>
      <c r="AV1140" s="609"/>
      <c r="AW1140" s="609"/>
      <c r="AX1140" s="609"/>
      <c r="AY1140" s="609"/>
      <c r="AZ1140" s="609"/>
      <c r="BA1140" s="609"/>
      <c r="BB1140" s="609"/>
      <c r="BC1140" s="609"/>
      <c r="BD1140" s="609"/>
      <c r="BE1140" s="609"/>
      <c r="BF1140" s="609"/>
      <c r="BG1140" s="609"/>
      <c r="BH1140" s="609"/>
      <c r="BI1140" s="609"/>
      <c r="BJ1140" s="609"/>
      <c r="BK1140" s="609"/>
      <c r="BL1140" s="609"/>
      <c r="BM1140" s="609"/>
      <c r="BN1140" s="609"/>
      <c r="BO1140" s="609"/>
      <c r="BP1140" s="609"/>
      <c r="BQ1140" s="609"/>
      <c r="BR1140" s="609"/>
      <c r="BS1140" s="609"/>
      <c r="BT1140" s="609"/>
      <c r="BU1140" s="609"/>
      <c r="BV1140" s="609"/>
      <c r="BW1140" s="609"/>
      <c r="BX1140" s="609"/>
      <c r="BY1140" s="609"/>
      <c r="BZ1140" s="609"/>
      <c r="CA1140" s="609"/>
      <c r="CB1140" s="609"/>
      <c r="CC1140" s="609"/>
      <c r="CD1140" s="609"/>
      <c r="CE1140" s="609"/>
      <c r="CF1140" s="609"/>
      <c r="CG1140" s="609"/>
      <c r="CH1140" s="609"/>
      <c r="CI1140" s="609"/>
      <c r="CJ1140" s="609"/>
      <c r="CK1140" s="609"/>
      <c r="CL1140" s="609"/>
      <c r="CM1140" s="609"/>
      <c r="CN1140" s="609"/>
      <c r="CO1140" s="609"/>
      <c r="CP1140" s="609"/>
      <c r="CQ1140" s="609"/>
      <c r="CR1140" s="609"/>
      <c r="CS1140" s="609"/>
      <c r="CT1140" s="609"/>
      <c r="CU1140" s="609"/>
      <c r="CV1140" s="609"/>
      <c r="CW1140" s="609"/>
      <c r="CX1140" s="609"/>
      <c r="CY1140" s="609"/>
      <c r="CZ1140" s="609"/>
      <c r="DA1140" s="609"/>
      <c r="DB1140" s="609"/>
      <c r="DC1140" s="609"/>
      <c r="DD1140" s="609"/>
      <c r="DE1140" s="609"/>
      <c r="DF1140" s="609"/>
      <c r="DG1140" s="609"/>
      <c r="DH1140" s="609"/>
      <c r="DI1140" s="609"/>
      <c r="DJ1140" s="609"/>
      <c r="DK1140" s="609"/>
      <c r="DL1140" s="609"/>
      <c r="DM1140" s="609"/>
      <c r="DN1140" s="609"/>
      <c r="DO1140" s="609"/>
      <c r="DP1140" s="609"/>
      <c r="DQ1140" s="609"/>
      <c r="DR1140" s="609"/>
      <c r="DS1140" s="609"/>
      <c r="DT1140" s="609"/>
      <c r="DU1140" s="609"/>
      <c r="DV1140" s="609"/>
      <c r="DW1140" s="609"/>
      <c r="DX1140" s="609"/>
      <c r="DY1140" s="609"/>
      <c r="DZ1140" s="609"/>
      <c r="EA1140" s="609"/>
      <c r="EB1140" s="609"/>
      <c r="EC1140" s="609"/>
      <c r="ED1140" s="609"/>
      <c r="EE1140" s="609"/>
      <c r="EF1140" s="609"/>
      <c r="EG1140" s="609"/>
      <c r="EH1140" s="609"/>
      <c r="EI1140" s="609"/>
      <c r="EJ1140" s="609"/>
      <c r="EK1140" s="609"/>
      <c r="EL1140" s="609"/>
      <c r="EM1140" s="609"/>
      <c r="EN1140" s="609"/>
      <c r="EO1140" s="609"/>
      <c r="EP1140" s="609"/>
      <c r="EQ1140" s="609"/>
      <c r="ER1140" s="609"/>
      <c r="ES1140" s="609"/>
      <c r="ET1140" s="609"/>
      <c r="EU1140" s="609"/>
      <c r="EV1140" s="609"/>
      <c r="EW1140" s="609"/>
      <c r="EX1140" s="609"/>
      <c r="EY1140" s="609"/>
      <c r="EZ1140" s="609"/>
      <c r="FA1140" s="609"/>
      <c r="FB1140" s="609"/>
      <c r="FC1140" s="609"/>
      <c r="FD1140" s="609"/>
      <c r="FE1140" s="609"/>
      <c r="FF1140" s="609"/>
      <c r="FG1140" s="609"/>
      <c r="FH1140" s="609"/>
      <c r="FI1140" s="609"/>
      <c r="FJ1140" s="609"/>
      <c r="FK1140" s="609"/>
      <c r="FL1140" s="609"/>
      <c r="FM1140" s="609"/>
      <c r="FN1140" s="609"/>
      <c r="FO1140" s="609"/>
      <c r="FP1140" s="609"/>
      <c r="FQ1140" s="609"/>
      <c r="FR1140" s="609"/>
      <c r="FS1140" s="609"/>
      <c r="FT1140" s="609"/>
      <c r="FU1140" s="609"/>
      <c r="FV1140" s="609"/>
      <c r="FW1140" s="609"/>
      <c r="FX1140" s="609"/>
      <c r="FY1140" s="609"/>
      <c r="FZ1140" s="609"/>
      <c r="GA1140" s="609"/>
      <c r="GB1140" s="609"/>
      <c r="GC1140" s="609"/>
      <c r="GD1140" s="609"/>
      <c r="GE1140" s="609"/>
      <c r="GF1140" s="609"/>
      <c r="GG1140" s="609"/>
      <c r="GH1140" s="609"/>
      <c r="GI1140" s="609"/>
      <c r="GJ1140" s="609"/>
      <c r="GK1140" s="609"/>
      <c r="GL1140" s="609"/>
      <c r="GM1140" s="609"/>
      <c r="GN1140" s="609"/>
      <c r="GO1140" s="609"/>
      <c r="GP1140" s="609"/>
      <c r="GQ1140" s="609"/>
      <c r="GR1140" s="609"/>
      <c r="GS1140" s="609"/>
      <c r="GT1140" s="609"/>
      <c r="GU1140" s="609"/>
      <c r="GV1140" s="609"/>
      <c r="GW1140" s="609"/>
      <c r="GX1140" s="609"/>
      <c r="GY1140" s="609"/>
      <c r="GZ1140" s="609"/>
      <c r="HA1140" s="609"/>
      <c r="HB1140" s="609"/>
      <c r="HC1140" s="609"/>
      <c r="HD1140" s="609"/>
      <c r="HE1140" s="609"/>
      <c r="HF1140" s="609"/>
      <c r="HG1140" s="609"/>
      <c r="HH1140" s="609"/>
      <c r="HI1140" s="609"/>
      <c r="HJ1140" s="609"/>
      <c r="HK1140" s="609"/>
      <c r="HL1140" s="609"/>
      <c r="HM1140" s="609"/>
      <c r="HN1140" s="609"/>
      <c r="HO1140" s="609"/>
      <c r="HP1140" s="609"/>
      <c r="HQ1140" s="609"/>
      <c r="HR1140" s="609"/>
      <c r="HS1140" s="609"/>
      <c r="HT1140" s="609"/>
      <c r="HU1140" s="609"/>
      <c r="HV1140" s="609"/>
      <c r="HW1140" s="609"/>
      <c r="HX1140" s="609"/>
      <c r="HY1140" s="609"/>
      <c r="HZ1140" s="609"/>
      <c r="IA1140" s="609"/>
      <c r="IB1140" s="609"/>
      <c r="IC1140" s="609"/>
      <c r="ID1140" s="609"/>
      <c r="IE1140" s="609"/>
      <c r="IF1140" s="609"/>
      <c r="IG1140" s="609"/>
      <c r="IH1140" s="609"/>
      <c r="II1140" s="609"/>
      <c r="IJ1140" s="609"/>
      <c r="IK1140" s="609"/>
      <c r="IL1140" s="609"/>
      <c r="IM1140" s="609"/>
      <c r="IN1140" s="609"/>
      <c r="IO1140" s="609"/>
      <c r="IP1140" s="609"/>
      <c r="IQ1140" s="609"/>
      <c r="IR1140" s="609"/>
      <c r="IS1140" s="609"/>
      <c r="IT1140" s="609"/>
      <c r="IU1140" s="609"/>
      <c r="IV1140" s="609"/>
    </row>
    <row r="1141" spans="1:256" s="642" customFormat="1" ht="24" x14ac:dyDescent="0.25">
      <c r="A1141" s="634" t="s">
        <v>1705</v>
      </c>
      <c r="B1141" s="679"/>
      <c r="C1141" s="636"/>
      <c r="D1141" s="750" t="s">
        <v>1818</v>
      </c>
      <c r="E1141" s="636" t="s">
        <v>251</v>
      </c>
      <c r="F1141" s="612">
        <v>1</v>
      </c>
      <c r="G1141" s="681">
        <v>241.79</v>
      </c>
      <c r="H1141" s="612"/>
      <c r="I1141" s="695">
        <f>ROUND(F1141*G1141,2)</f>
        <v>241.79</v>
      </c>
      <c r="J1141" s="695" t="s">
        <v>1207</v>
      </c>
      <c r="K1141" s="695"/>
      <c r="L1141" s="695"/>
      <c r="M1141" s="695"/>
      <c r="N1141" s="695"/>
      <c r="O1141" s="695"/>
      <c r="P1141" s="695"/>
      <c r="Q1141" s="609"/>
      <c r="R1141" s="609"/>
      <c r="S1141" s="609"/>
      <c r="T1141" s="609"/>
      <c r="U1141" s="609"/>
      <c r="V1141" s="609"/>
      <c r="W1141" s="609"/>
      <c r="X1141" s="609"/>
      <c r="Y1141" s="609"/>
      <c r="Z1141" s="609"/>
      <c r="AA1141" s="609"/>
      <c r="AB1141" s="609"/>
      <c r="AC1141" s="609"/>
      <c r="AD1141" s="609"/>
      <c r="AE1141" s="609"/>
      <c r="AF1141" s="609"/>
      <c r="AG1141" s="609"/>
      <c r="AH1141" s="609"/>
      <c r="AI1141" s="609"/>
      <c r="AJ1141" s="609"/>
      <c r="AK1141" s="609"/>
      <c r="AL1141" s="609"/>
      <c r="AM1141" s="609"/>
      <c r="AN1141" s="609"/>
      <c r="AO1141" s="609"/>
      <c r="AP1141" s="609"/>
      <c r="AQ1141" s="609"/>
      <c r="AR1141" s="609"/>
      <c r="AS1141" s="609"/>
      <c r="AT1141" s="609"/>
      <c r="AU1141" s="609"/>
      <c r="AV1141" s="609"/>
      <c r="AW1141" s="609"/>
      <c r="AX1141" s="609"/>
      <c r="AY1141" s="609"/>
      <c r="AZ1141" s="609"/>
      <c r="BA1141" s="609"/>
      <c r="BB1141" s="609"/>
      <c r="BC1141" s="609"/>
      <c r="BD1141" s="609"/>
      <c r="BE1141" s="609"/>
      <c r="BF1141" s="609"/>
      <c r="BG1141" s="609"/>
      <c r="BH1141" s="609"/>
      <c r="BI1141" s="609"/>
      <c r="BJ1141" s="609"/>
      <c r="BK1141" s="609"/>
      <c r="BL1141" s="609"/>
      <c r="BM1141" s="609"/>
      <c r="BN1141" s="609"/>
      <c r="BO1141" s="609"/>
      <c r="BP1141" s="609"/>
      <c r="BQ1141" s="609"/>
      <c r="BR1141" s="609"/>
      <c r="BS1141" s="609"/>
      <c r="BT1141" s="609"/>
      <c r="BU1141" s="609"/>
      <c r="BV1141" s="609"/>
      <c r="BW1141" s="609"/>
      <c r="BX1141" s="609"/>
      <c r="BY1141" s="609"/>
      <c r="BZ1141" s="609"/>
      <c r="CA1141" s="609"/>
      <c r="CB1141" s="609"/>
      <c r="CC1141" s="609"/>
      <c r="CD1141" s="609"/>
      <c r="CE1141" s="609"/>
      <c r="CF1141" s="609"/>
      <c r="CG1141" s="609"/>
      <c r="CH1141" s="609"/>
      <c r="CI1141" s="609"/>
      <c r="CJ1141" s="609"/>
      <c r="CK1141" s="609"/>
      <c r="CL1141" s="609"/>
      <c r="CM1141" s="609"/>
      <c r="CN1141" s="609"/>
      <c r="CO1141" s="609"/>
      <c r="CP1141" s="609"/>
      <c r="CQ1141" s="609"/>
      <c r="CR1141" s="609"/>
      <c r="CS1141" s="609"/>
      <c r="CT1141" s="609"/>
      <c r="CU1141" s="609"/>
      <c r="CV1141" s="609"/>
      <c r="CW1141" s="609"/>
      <c r="CX1141" s="609"/>
      <c r="CY1141" s="609"/>
      <c r="CZ1141" s="609"/>
      <c r="DA1141" s="609"/>
      <c r="DB1141" s="609"/>
      <c r="DC1141" s="609"/>
      <c r="DD1141" s="609"/>
      <c r="DE1141" s="609"/>
      <c r="DF1141" s="609"/>
      <c r="DG1141" s="609"/>
      <c r="DH1141" s="609"/>
      <c r="DI1141" s="609"/>
      <c r="DJ1141" s="609"/>
      <c r="DK1141" s="609"/>
      <c r="DL1141" s="609"/>
      <c r="DM1141" s="609"/>
      <c r="DN1141" s="609"/>
      <c r="DO1141" s="609"/>
      <c r="DP1141" s="609"/>
      <c r="DQ1141" s="609"/>
      <c r="DR1141" s="609"/>
      <c r="DS1141" s="609"/>
      <c r="DT1141" s="609"/>
      <c r="DU1141" s="609"/>
      <c r="DV1141" s="609"/>
      <c r="DW1141" s="609"/>
      <c r="DX1141" s="609"/>
      <c r="DY1141" s="609"/>
      <c r="DZ1141" s="609"/>
      <c r="EA1141" s="609"/>
      <c r="EB1141" s="609"/>
      <c r="EC1141" s="609"/>
      <c r="ED1141" s="609"/>
      <c r="EE1141" s="609"/>
      <c r="EF1141" s="609"/>
      <c r="EG1141" s="609"/>
      <c r="EH1141" s="609"/>
      <c r="EI1141" s="609"/>
      <c r="EJ1141" s="609"/>
      <c r="EK1141" s="609"/>
      <c r="EL1141" s="609"/>
      <c r="EM1141" s="609"/>
      <c r="EN1141" s="609"/>
      <c r="EO1141" s="609"/>
      <c r="EP1141" s="609"/>
      <c r="EQ1141" s="609"/>
      <c r="ER1141" s="609"/>
      <c r="ES1141" s="609"/>
      <c r="ET1141" s="609"/>
      <c r="EU1141" s="609"/>
      <c r="EV1141" s="609"/>
      <c r="EW1141" s="609"/>
      <c r="EX1141" s="609"/>
      <c r="EY1141" s="609"/>
      <c r="EZ1141" s="609"/>
      <c r="FA1141" s="609"/>
      <c r="FB1141" s="609"/>
      <c r="FC1141" s="609"/>
      <c r="FD1141" s="609"/>
      <c r="FE1141" s="609"/>
      <c r="FF1141" s="609"/>
      <c r="FG1141" s="609"/>
      <c r="FH1141" s="609"/>
      <c r="FI1141" s="609"/>
      <c r="FJ1141" s="609"/>
      <c r="FK1141" s="609"/>
      <c r="FL1141" s="609"/>
      <c r="FM1141" s="609"/>
      <c r="FN1141" s="609"/>
      <c r="FO1141" s="609"/>
      <c r="FP1141" s="609"/>
      <c r="FQ1141" s="609"/>
      <c r="FR1141" s="609"/>
      <c r="FS1141" s="609"/>
      <c r="FT1141" s="609"/>
      <c r="FU1141" s="609"/>
      <c r="FV1141" s="609"/>
      <c r="FW1141" s="609"/>
      <c r="FX1141" s="609"/>
      <c r="FY1141" s="609"/>
      <c r="FZ1141" s="609"/>
      <c r="GA1141" s="609"/>
      <c r="GB1141" s="609"/>
      <c r="GC1141" s="609"/>
      <c r="GD1141" s="609"/>
      <c r="GE1141" s="609"/>
      <c r="GF1141" s="609"/>
      <c r="GG1141" s="609"/>
      <c r="GH1141" s="609"/>
      <c r="GI1141" s="609"/>
      <c r="GJ1141" s="609"/>
      <c r="GK1141" s="609"/>
      <c r="GL1141" s="609"/>
      <c r="GM1141" s="609"/>
      <c r="GN1141" s="609"/>
      <c r="GO1141" s="609"/>
      <c r="GP1141" s="609"/>
      <c r="GQ1141" s="609"/>
      <c r="GR1141" s="609"/>
      <c r="GS1141" s="609"/>
      <c r="GT1141" s="609"/>
      <c r="GU1141" s="609"/>
      <c r="GV1141" s="609"/>
      <c r="GW1141" s="609"/>
      <c r="GX1141" s="609"/>
      <c r="GY1141" s="609"/>
      <c r="GZ1141" s="609"/>
      <c r="HA1141" s="609"/>
      <c r="HB1141" s="609"/>
      <c r="HC1141" s="609"/>
      <c r="HD1141" s="609"/>
      <c r="HE1141" s="609"/>
      <c r="HF1141" s="609"/>
      <c r="HG1141" s="609"/>
      <c r="HH1141" s="609"/>
      <c r="HI1141" s="609"/>
      <c r="HJ1141" s="609"/>
      <c r="HK1141" s="609"/>
      <c r="HL1141" s="609"/>
      <c r="HM1141" s="609"/>
      <c r="HN1141" s="609"/>
      <c r="HO1141" s="609"/>
      <c r="HP1141" s="609"/>
      <c r="HQ1141" s="609"/>
      <c r="HR1141" s="609"/>
      <c r="HS1141" s="609"/>
      <c r="HT1141" s="609"/>
      <c r="HU1141" s="609"/>
      <c r="HV1141" s="609"/>
      <c r="HW1141" s="609"/>
      <c r="HX1141" s="609"/>
      <c r="HY1141" s="609"/>
      <c r="HZ1141" s="609"/>
      <c r="IA1141" s="609"/>
      <c r="IB1141" s="609"/>
      <c r="IC1141" s="609"/>
      <c r="ID1141" s="609"/>
      <c r="IE1141" s="609"/>
      <c r="IF1141" s="609"/>
      <c r="IG1141" s="609"/>
      <c r="IH1141" s="609"/>
      <c r="II1141" s="609"/>
      <c r="IJ1141" s="609"/>
      <c r="IK1141" s="609"/>
      <c r="IL1141" s="609"/>
      <c r="IM1141" s="609"/>
      <c r="IN1141" s="609"/>
      <c r="IO1141" s="609"/>
      <c r="IP1141" s="609"/>
      <c r="IQ1141" s="609"/>
      <c r="IR1141" s="609"/>
      <c r="IS1141" s="609"/>
      <c r="IT1141" s="609"/>
      <c r="IU1141" s="609"/>
      <c r="IV1141" s="609"/>
    </row>
    <row r="1142" spans="1:256" s="642" customFormat="1" x14ac:dyDescent="0.25">
      <c r="A1142" s="634" t="s">
        <v>277</v>
      </c>
      <c r="B1142" s="634">
        <v>2439</v>
      </c>
      <c r="C1142" s="636"/>
      <c r="D1142" s="612" t="s">
        <v>1707</v>
      </c>
      <c r="E1142" s="636" t="s">
        <v>229</v>
      </c>
      <c r="F1142" s="612">
        <v>0.4</v>
      </c>
      <c r="G1142" s="681">
        <v>16.2</v>
      </c>
      <c r="H1142" s="612"/>
      <c r="I1142" s="695"/>
      <c r="J1142" s="695">
        <f>ROUND(F1142*G1142,2)</f>
        <v>6.48</v>
      </c>
      <c r="K1142" s="695"/>
      <c r="L1142" s="695"/>
      <c r="M1142" s="695"/>
      <c r="N1142" s="695"/>
      <c r="O1142" s="695"/>
      <c r="P1142" s="695"/>
      <c r="Q1142" s="609"/>
      <c r="R1142" s="609"/>
      <c r="S1142" s="609"/>
      <c r="T1142" s="609"/>
      <c r="U1142" s="609"/>
      <c r="V1142" s="609"/>
      <c r="W1142" s="609"/>
      <c r="X1142" s="609"/>
      <c r="Y1142" s="609"/>
      <c r="Z1142" s="609"/>
      <c r="AA1142" s="609"/>
      <c r="AB1142" s="609"/>
      <c r="AC1142" s="609"/>
      <c r="AD1142" s="609"/>
      <c r="AE1142" s="609"/>
      <c r="AF1142" s="609"/>
      <c r="AG1142" s="609"/>
      <c r="AH1142" s="609"/>
      <c r="AI1142" s="609"/>
      <c r="AJ1142" s="609"/>
      <c r="AK1142" s="609"/>
      <c r="AL1142" s="609"/>
      <c r="AM1142" s="609"/>
      <c r="AN1142" s="609"/>
      <c r="AO1142" s="609"/>
      <c r="AP1142" s="609"/>
      <c r="AQ1142" s="609"/>
      <c r="AR1142" s="609"/>
      <c r="AS1142" s="609"/>
      <c r="AT1142" s="609"/>
      <c r="AU1142" s="609"/>
      <c r="AV1142" s="609"/>
      <c r="AW1142" s="609"/>
      <c r="AX1142" s="609"/>
      <c r="AY1142" s="609"/>
      <c r="AZ1142" s="609"/>
      <c r="BA1142" s="609"/>
      <c r="BB1142" s="609"/>
      <c r="BC1142" s="609"/>
      <c r="BD1142" s="609"/>
      <c r="BE1142" s="609"/>
      <c r="BF1142" s="609"/>
      <c r="BG1142" s="609"/>
      <c r="BH1142" s="609"/>
      <c r="BI1142" s="609"/>
      <c r="BJ1142" s="609"/>
      <c r="BK1142" s="609"/>
      <c r="BL1142" s="609"/>
      <c r="BM1142" s="609"/>
      <c r="BN1142" s="609"/>
      <c r="BO1142" s="609"/>
      <c r="BP1142" s="609"/>
      <c r="BQ1142" s="609"/>
      <c r="BR1142" s="609"/>
      <c r="BS1142" s="609"/>
      <c r="BT1142" s="609"/>
      <c r="BU1142" s="609"/>
      <c r="BV1142" s="609"/>
      <c r="BW1142" s="609"/>
      <c r="BX1142" s="609"/>
      <c r="BY1142" s="609"/>
      <c r="BZ1142" s="609"/>
      <c r="CA1142" s="609"/>
      <c r="CB1142" s="609"/>
      <c r="CC1142" s="609"/>
      <c r="CD1142" s="609"/>
      <c r="CE1142" s="609"/>
      <c r="CF1142" s="609"/>
      <c r="CG1142" s="609"/>
      <c r="CH1142" s="609"/>
      <c r="CI1142" s="609"/>
      <c r="CJ1142" s="609"/>
      <c r="CK1142" s="609"/>
      <c r="CL1142" s="609"/>
      <c r="CM1142" s="609"/>
      <c r="CN1142" s="609"/>
      <c r="CO1142" s="609"/>
      <c r="CP1142" s="609"/>
      <c r="CQ1142" s="609"/>
      <c r="CR1142" s="609"/>
      <c r="CS1142" s="609"/>
      <c r="CT1142" s="609"/>
      <c r="CU1142" s="609"/>
      <c r="CV1142" s="609"/>
      <c r="CW1142" s="609"/>
      <c r="CX1142" s="609"/>
      <c r="CY1142" s="609"/>
      <c r="CZ1142" s="609"/>
      <c r="DA1142" s="609"/>
      <c r="DB1142" s="609"/>
      <c r="DC1142" s="609"/>
      <c r="DD1142" s="609"/>
      <c r="DE1142" s="609"/>
      <c r="DF1142" s="609"/>
      <c r="DG1142" s="609"/>
      <c r="DH1142" s="609"/>
      <c r="DI1142" s="609"/>
      <c r="DJ1142" s="609"/>
      <c r="DK1142" s="609"/>
      <c r="DL1142" s="609"/>
      <c r="DM1142" s="609"/>
      <c r="DN1142" s="609"/>
      <c r="DO1142" s="609"/>
      <c r="DP1142" s="609"/>
      <c r="DQ1142" s="609"/>
      <c r="DR1142" s="609"/>
      <c r="DS1142" s="609"/>
      <c r="DT1142" s="609"/>
      <c r="DU1142" s="609"/>
      <c r="DV1142" s="609"/>
      <c r="DW1142" s="609"/>
      <c r="DX1142" s="609"/>
      <c r="DY1142" s="609"/>
      <c r="DZ1142" s="609"/>
      <c r="EA1142" s="609"/>
      <c r="EB1142" s="609"/>
      <c r="EC1142" s="609"/>
      <c r="ED1142" s="609"/>
      <c r="EE1142" s="609"/>
      <c r="EF1142" s="609"/>
      <c r="EG1142" s="609"/>
      <c r="EH1142" s="609"/>
      <c r="EI1142" s="609"/>
      <c r="EJ1142" s="609"/>
      <c r="EK1142" s="609"/>
      <c r="EL1142" s="609"/>
      <c r="EM1142" s="609"/>
      <c r="EN1142" s="609"/>
      <c r="EO1142" s="609"/>
      <c r="EP1142" s="609"/>
      <c r="EQ1142" s="609"/>
      <c r="ER1142" s="609"/>
      <c r="ES1142" s="609"/>
      <c r="ET1142" s="609"/>
      <c r="EU1142" s="609"/>
      <c r="EV1142" s="609"/>
      <c r="EW1142" s="609"/>
      <c r="EX1142" s="609"/>
      <c r="EY1142" s="609"/>
      <c r="EZ1142" s="609"/>
      <c r="FA1142" s="609"/>
      <c r="FB1142" s="609"/>
      <c r="FC1142" s="609"/>
      <c r="FD1142" s="609"/>
      <c r="FE1142" s="609"/>
      <c r="FF1142" s="609"/>
      <c r="FG1142" s="609"/>
      <c r="FH1142" s="609"/>
      <c r="FI1142" s="609"/>
      <c r="FJ1142" s="609"/>
      <c r="FK1142" s="609"/>
      <c r="FL1142" s="609"/>
      <c r="FM1142" s="609"/>
      <c r="FN1142" s="609"/>
      <c r="FO1142" s="609"/>
      <c r="FP1142" s="609"/>
      <c r="FQ1142" s="609"/>
      <c r="FR1142" s="609"/>
      <c r="FS1142" s="609"/>
      <c r="FT1142" s="609"/>
      <c r="FU1142" s="609"/>
      <c r="FV1142" s="609"/>
      <c r="FW1142" s="609"/>
      <c r="FX1142" s="609"/>
      <c r="FY1142" s="609"/>
      <c r="FZ1142" s="609"/>
      <c r="GA1142" s="609"/>
      <c r="GB1142" s="609"/>
      <c r="GC1142" s="609"/>
      <c r="GD1142" s="609"/>
      <c r="GE1142" s="609"/>
      <c r="GF1142" s="609"/>
      <c r="GG1142" s="609"/>
      <c r="GH1142" s="609"/>
      <c r="GI1142" s="609"/>
      <c r="GJ1142" s="609"/>
      <c r="GK1142" s="609"/>
      <c r="GL1142" s="609"/>
      <c r="GM1142" s="609"/>
      <c r="GN1142" s="609"/>
      <c r="GO1142" s="609"/>
      <c r="GP1142" s="609"/>
      <c r="GQ1142" s="609"/>
      <c r="GR1142" s="609"/>
      <c r="GS1142" s="609"/>
      <c r="GT1142" s="609"/>
      <c r="GU1142" s="609"/>
      <c r="GV1142" s="609"/>
      <c r="GW1142" s="609"/>
      <c r="GX1142" s="609"/>
      <c r="GY1142" s="609"/>
      <c r="GZ1142" s="609"/>
      <c r="HA1142" s="609"/>
      <c r="HB1142" s="609"/>
      <c r="HC1142" s="609"/>
      <c r="HD1142" s="609"/>
      <c r="HE1142" s="609"/>
      <c r="HF1142" s="609"/>
      <c r="HG1142" s="609"/>
      <c r="HH1142" s="609"/>
      <c r="HI1142" s="609"/>
      <c r="HJ1142" s="609"/>
      <c r="HK1142" s="609"/>
      <c r="HL1142" s="609"/>
      <c r="HM1142" s="609"/>
      <c r="HN1142" s="609"/>
      <c r="HO1142" s="609"/>
      <c r="HP1142" s="609"/>
      <c r="HQ1142" s="609"/>
      <c r="HR1142" s="609"/>
      <c r="HS1142" s="609"/>
      <c r="HT1142" s="609"/>
      <c r="HU1142" s="609"/>
      <c r="HV1142" s="609"/>
      <c r="HW1142" s="609"/>
      <c r="HX1142" s="609"/>
      <c r="HY1142" s="609"/>
      <c r="HZ1142" s="609"/>
      <c r="IA1142" s="609"/>
      <c r="IB1142" s="609"/>
      <c r="IC1142" s="609"/>
      <c r="ID1142" s="609"/>
      <c r="IE1142" s="609"/>
      <c r="IF1142" s="609"/>
      <c r="IG1142" s="609"/>
      <c r="IH1142" s="609"/>
      <c r="II1142" s="609"/>
      <c r="IJ1142" s="609"/>
      <c r="IK1142" s="609"/>
      <c r="IL1142" s="609"/>
      <c r="IM1142" s="609"/>
      <c r="IN1142" s="609"/>
      <c r="IO1142" s="609"/>
      <c r="IP1142" s="609"/>
      <c r="IQ1142" s="609"/>
      <c r="IR1142" s="609"/>
      <c r="IS1142" s="609"/>
      <c r="IT1142" s="609"/>
      <c r="IU1142" s="609"/>
      <c r="IV1142" s="609"/>
    </row>
    <row r="1143" spans="1:256" s="642" customFormat="1" x14ac:dyDescent="0.25">
      <c r="A1143" s="634" t="s">
        <v>277</v>
      </c>
      <c r="B1143" s="634">
        <v>247</v>
      </c>
      <c r="C1143" s="636"/>
      <c r="D1143" s="635" t="s">
        <v>1070</v>
      </c>
      <c r="E1143" s="636" t="s">
        <v>229</v>
      </c>
      <c r="F1143" s="612">
        <v>0.4</v>
      </c>
      <c r="G1143" s="681">
        <v>9.65</v>
      </c>
      <c r="H1143" s="612"/>
      <c r="I1143" s="695"/>
      <c r="J1143" s="695">
        <f>ROUND(F1143*G1143,2)</f>
        <v>3.86</v>
      </c>
      <c r="K1143" s="695"/>
      <c r="L1143" s="695"/>
      <c r="M1143" s="695"/>
      <c r="N1143" s="695"/>
      <c r="O1143" s="695"/>
      <c r="P1143" s="695"/>
      <c r="Q1143" s="609"/>
      <c r="R1143" s="609"/>
      <c r="S1143" s="609"/>
      <c r="T1143" s="609"/>
      <c r="U1143" s="609"/>
      <c r="V1143" s="609"/>
      <c r="W1143" s="609"/>
      <c r="X1143" s="609"/>
      <c r="Y1143" s="609"/>
      <c r="Z1143" s="609"/>
      <c r="AA1143" s="609"/>
      <c r="AB1143" s="609"/>
      <c r="AC1143" s="609"/>
      <c r="AD1143" s="609"/>
      <c r="AE1143" s="609"/>
      <c r="AF1143" s="609"/>
      <c r="AG1143" s="609"/>
      <c r="AH1143" s="609"/>
      <c r="AI1143" s="609"/>
      <c r="AJ1143" s="609"/>
      <c r="AK1143" s="609"/>
      <c r="AL1143" s="609"/>
      <c r="AM1143" s="609"/>
      <c r="AN1143" s="609"/>
      <c r="AO1143" s="609"/>
      <c r="AP1143" s="609"/>
      <c r="AQ1143" s="609"/>
      <c r="AR1143" s="609"/>
      <c r="AS1143" s="609"/>
      <c r="AT1143" s="609"/>
      <c r="AU1143" s="609"/>
      <c r="AV1143" s="609"/>
      <c r="AW1143" s="609"/>
      <c r="AX1143" s="609"/>
      <c r="AY1143" s="609"/>
      <c r="AZ1143" s="609"/>
      <c r="BA1143" s="609"/>
      <c r="BB1143" s="609"/>
      <c r="BC1143" s="609"/>
      <c r="BD1143" s="609"/>
      <c r="BE1143" s="609"/>
      <c r="BF1143" s="609"/>
      <c r="BG1143" s="609"/>
      <c r="BH1143" s="609"/>
      <c r="BI1143" s="609"/>
      <c r="BJ1143" s="609"/>
      <c r="BK1143" s="609"/>
      <c r="BL1143" s="609"/>
      <c r="BM1143" s="609"/>
      <c r="BN1143" s="609"/>
      <c r="BO1143" s="609"/>
      <c r="BP1143" s="609"/>
      <c r="BQ1143" s="609"/>
      <c r="BR1143" s="609"/>
      <c r="BS1143" s="609"/>
      <c r="BT1143" s="609"/>
      <c r="BU1143" s="609"/>
      <c r="BV1143" s="609"/>
      <c r="BW1143" s="609"/>
      <c r="BX1143" s="609"/>
      <c r="BY1143" s="609"/>
      <c r="BZ1143" s="609"/>
      <c r="CA1143" s="609"/>
      <c r="CB1143" s="609"/>
      <c r="CC1143" s="609"/>
      <c r="CD1143" s="609"/>
      <c r="CE1143" s="609"/>
      <c r="CF1143" s="609"/>
      <c r="CG1143" s="609"/>
      <c r="CH1143" s="609"/>
      <c r="CI1143" s="609"/>
      <c r="CJ1143" s="609"/>
      <c r="CK1143" s="609"/>
      <c r="CL1143" s="609"/>
      <c r="CM1143" s="609"/>
      <c r="CN1143" s="609"/>
      <c r="CO1143" s="609"/>
      <c r="CP1143" s="609"/>
      <c r="CQ1143" s="609"/>
      <c r="CR1143" s="609"/>
      <c r="CS1143" s="609"/>
      <c r="CT1143" s="609"/>
      <c r="CU1143" s="609"/>
      <c r="CV1143" s="609"/>
      <c r="CW1143" s="609"/>
      <c r="CX1143" s="609"/>
      <c r="CY1143" s="609"/>
      <c r="CZ1143" s="609"/>
      <c r="DA1143" s="609"/>
      <c r="DB1143" s="609"/>
      <c r="DC1143" s="609"/>
      <c r="DD1143" s="609"/>
      <c r="DE1143" s="609"/>
      <c r="DF1143" s="609"/>
      <c r="DG1143" s="609"/>
      <c r="DH1143" s="609"/>
      <c r="DI1143" s="609"/>
      <c r="DJ1143" s="609"/>
      <c r="DK1143" s="609"/>
      <c r="DL1143" s="609"/>
      <c r="DM1143" s="609"/>
      <c r="DN1143" s="609"/>
      <c r="DO1143" s="609"/>
      <c r="DP1143" s="609"/>
      <c r="DQ1143" s="609"/>
      <c r="DR1143" s="609"/>
      <c r="DS1143" s="609"/>
      <c r="DT1143" s="609"/>
      <c r="DU1143" s="609"/>
      <c r="DV1143" s="609"/>
      <c r="DW1143" s="609"/>
      <c r="DX1143" s="609"/>
      <c r="DY1143" s="609"/>
      <c r="DZ1143" s="609"/>
      <c r="EA1143" s="609"/>
      <c r="EB1143" s="609"/>
      <c r="EC1143" s="609"/>
      <c r="ED1143" s="609"/>
      <c r="EE1143" s="609"/>
      <c r="EF1143" s="609"/>
      <c r="EG1143" s="609"/>
      <c r="EH1143" s="609"/>
      <c r="EI1143" s="609"/>
      <c r="EJ1143" s="609"/>
      <c r="EK1143" s="609"/>
      <c r="EL1143" s="609"/>
      <c r="EM1143" s="609"/>
      <c r="EN1143" s="609"/>
      <c r="EO1143" s="609"/>
      <c r="EP1143" s="609"/>
      <c r="EQ1143" s="609"/>
      <c r="ER1143" s="609"/>
      <c r="ES1143" s="609"/>
      <c r="ET1143" s="609"/>
      <c r="EU1143" s="609"/>
      <c r="EV1143" s="609"/>
      <c r="EW1143" s="609"/>
      <c r="EX1143" s="609"/>
      <c r="EY1143" s="609"/>
      <c r="EZ1143" s="609"/>
      <c r="FA1143" s="609"/>
      <c r="FB1143" s="609"/>
      <c r="FC1143" s="609"/>
      <c r="FD1143" s="609"/>
      <c r="FE1143" s="609"/>
      <c r="FF1143" s="609"/>
      <c r="FG1143" s="609"/>
      <c r="FH1143" s="609"/>
      <c r="FI1143" s="609"/>
      <c r="FJ1143" s="609"/>
      <c r="FK1143" s="609"/>
      <c r="FL1143" s="609"/>
      <c r="FM1143" s="609"/>
      <c r="FN1143" s="609"/>
      <c r="FO1143" s="609"/>
      <c r="FP1143" s="609"/>
      <c r="FQ1143" s="609"/>
      <c r="FR1143" s="609"/>
      <c r="FS1143" s="609"/>
      <c r="FT1143" s="609"/>
      <c r="FU1143" s="609"/>
      <c r="FV1143" s="609"/>
      <c r="FW1143" s="609"/>
      <c r="FX1143" s="609"/>
      <c r="FY1143" s="609"/>
      <c r="FZ1143" s="609"/>
      <c r="GA1143" s="609"/>
      <c r="GB1143" s="609"/>
      <c r="GC1143" s="609"/>
      <c r="GD1143" s="609"/>
      <c r="GE1143" s="609"/>
      <c r="GF1143" s="609"/>
      <c r="GG1143" s="609"/>
      <c r="GH1143" s="609"/>
      <c r="GI1143" s="609"/>
      <c r="GJ1143" s="609"/>
      <c r="GK1143" s="609"/>
      <c r="GL1143" s="609"/>
      <c r="GM1143" s="609"/>
      <c r="GN1143" s="609"/>
      <c r="GO1143" s="609"/>
      <c r="GP1143" s="609"/>
      <c r="GQ1143" s="609"/>
      <c r="GR1143" s="609"/>
      <c r="GS1143" s="609"/>
      <c r="GT1143" s="609"/>
      <c r="GU1143" s="609"/>
      <c r="GV1143" s="609"/>
      <c r="GW1143" s="609"/>
      <c r="GX1143" s="609"/>
      <c r="GY1143" s="609"/>
      <c r="GZ1143" s="609"/>
      <c r="HA1143" s="609"/>
      <c r="HB1143" s="609"/>
      <c r="HC1143" s="609"/>
      <c r="HD1143" s="609"/>
      <c r="HE1143" s="609"/>
      <c r="HF1143" s="609"/>
      <c r="HG1143" s="609"/>
      <c r="HH1143" s="609"/>
      <c r="HI1143" s="609"/>
      <c r="HJ1143" s="609"/>
      <c r="HK1143" s="609"/>
      <c r="HL1143" s="609"/>
      <c r="HM1143" s="609"/>
      <c r="HN1143" s="609"/>
      <c r="HO1143" s="609"/>
      <c r="HP1143" s="609"/>
      <c r="HQ1143" s="609"/>
      <c r="HR1143" s="609"/>
      <c r="HS1143" s="609"/>
      <c r="HT1143" s="609"/>
      <c r="HU1143" s="609"/>
      <c r="HV1143" s="609"/>
      <c r="HW1143" s="609"/>
      <c r="HX1143" s="609"/>
      <c r="HY1143" s="609"/>
      <c r="HZ1143" s="609"/>
      <c r="IA1143" s="609"/>
      <c r="IB1143" s="609"/>
      <c r="IC1143" s="609"/>
      <c r="ID1143" s="609"/>
      <c r="IE1143" s="609"/>
      <c r="IF1143" s="609"/>
      <c r="IG1143" s="609"/>
      <c r="IH1143" s="609"/>
      <c r="II1143" s="609"/>
      <c r="IJ1143" s="609"/>
      <c r="IK1143" s="609"/>
      <c r="IL1143" s="609"/>
      <c r="IM1143" s="609"/>
      <c r="IN1143" s="609"/>
      <c r="IO1143" s="609"/>
      <c r="IP1143" s="609"/>
      <c r="IQ1143" s="609"/>
      <c r="IR1143" s="609"/>
      <c r="IS1143" s="609"/>
      <c r="IT1143" s="609"/>
      <c r="IU1143" s="609"/>
      <c r="IV1143" s="609"/>
    </row>
    <row r="1144" spans="1:256" s="642" customFormat="1" ht="24" x14ac:dyDescent="0.25">
      <c r="A1144" s="675"/>
      <c r="B1144" s="675"/>
      <c r="C1144" s="675" t="s">
        <v>1819</v>
      </c>
      <c r="D1144" s="620" t="s">
        <v>1820</v>
      </c>
      <c r="E1144" s="675" t="s">
        <v>251</v>
      </c>
      <c r="F1144" s="620"/>
      <c r="G1144" s="622"/>
      <c r="H1144" s="620">
        <v>8</v>
      </c>
      <c r="I1144" s="677">
        <f>SUM(I1145:I1146)</f>
        <v>0</v>
      </c>
      <c r="J1144" s="677">
        <f>SUM(J1145:J1146)</f>
        <v>25.85</v>
      </c>
      <c r="K1144" s="665">
        <f>I1144+J1144</f>
        <v>25.85</v>
      </c>
      <c r="L1144" s="622">
        <f>H1144*I1144</f>
        <v>0</v>
      </c>
      <c r="M1144" s="622">
        <f>H1144*J1144</f>
        <v>206.8</v>
      </c>
      <c r="N1144" s="622">
        <f>L1144+M1144</f>
        <v>206.8</v>
      </c>
      <c r="O1144" s="622">
        <f>N1144*$P$4</f>
        <v>50.790080000000003</v>
      </c>
      <c r="P1144" s="622">
        <f>N1144+O1144</f>
        <v>257.59008</v>
      </c>
      <c r="Q1144" s="609"/>
      <c r="R1144" s="609"/>
      <c r="S1144" s="609"/>
      <c r="T1144" s="609"/>
      <c r="U1144" s="609"/>
      <c r="V1144" s="609"/>
      <c r="W1144" s="609"/>
      <c r="X1144" s="609"/>
      <c r="Y1144" s="609"/>
      <c r="Z1144" s="609"/>
      <c r="AA1144" s="609"/>
      <c r="AB1144" s="609"/>
      <c r="AC1144" s="609"/>
      <c r="AD1144" s="609"/>
      <c r="AE1144" s="609"/>
      <c r="AF1144" s="609"/>
      <c r="AG1144" s="609"/>
      <c r="AH1144" s="609"/>
      <c r="AI1144" s="609"/>
      <c r="AJ1144" s="609"/>
      <c r="AK1144" s="609"/>
      <c r="AL1144" s="609"/>
      <c r="AM1144" s="609"/>
      <c r="AN1144" s="609"/>
      <c r="AO1144" s="609"/>
      <c r="AP1144" s="609"/>
      <c r="AQ1144" s="609"/>
      <c r="AR1144" s="609"/>
      <c r="AS1144" s="609"/>
      <c r="AT1144" s="609"/>
      <c r="AU1144" s="609"/>
      <c r="AV1144" s="609"/>
      <c r="AW1144" s="609"/>
      <c r="AX1144" s="609"/>
      <c r="AY1144" s="609"/>
      <c r="AZ1144" s="609"/>
      <c r="BA1144" s="609"/>
      <c r="BB1144" s="609"/>
      <c r="BC1144" s="609"/>
      <c r="BD1144" s="609"/>
      <c r="BE1144" s="609"/>
      <c r="BF1144" s="609"/>
      <c r="BG1144" s="609"/>
      <c r="BH1144" s="609"/>
      <c r="BI1144" s="609"/>
      <c r="BJ1144" s="609"/>
      <c r="BK1144" s="609"/>
      <c r="BL1144" s="609"/>
      <c r="BM1144" s="609"/>
      <c r="BN1144" s="609"/>
      <c r="BO1144" s="609"/>
      <c r="BP1144" s="609"/>
      <c r="BQ1144" s="609"/>
      <c r="BR1144" s="609"/>
      <c r="BS1144" s="609"/>
      <c r="BT1144" s="609"/>
      <c r="BU1144" s="609"/>
      <c r="BV1144" s="609"/>
      <c r="BW1144" s="609"/>
      <c r="BX1144" s="609"/>
      <c r="BY1144" s="609"/>
      <c r="BZ1144" s="609"/>
      <c r="CA1144" s="609"/>
      <c r="CB1144" s="609"/>
      <c r="CC1144" s="609"/>
      <c r="CD1144" s="609"/>
      <c r="CE1144" s="609"/>
      <c r="CF1144" s="609"/>
      <c r="CG1144" s="609"/>
      <c r="CH1144" s="609"/>
      <c r="CI1144" s="609"/>
      <c r="CJ1144" s="609"/>
      <c r="CK1144" s="609"/>
      <c r="CL1144" s="609"/>
      <c r="CM1144" s="609"/>
      <c r="CN1144" s="609"/>
      <c r="CO1144" s="609"/>
      <c r="CP1144" s="609"/>
      <c r="CQ1144" s="609"/>
      <c r="CR1144" s="609"/>
      <c r="CS1144" s="609"/>
      <c r="CT1144" s="609"/>
      <c r="CU1144" s="609"/>
      <c r="CV1144" s="609"/>
      <c r="CW1144" s="609"/>
      <c r="CX1144" s="609"/>
      <c r="CY1144" s="609"/>
      <c r="CZ1144" s="609"/>
      <c r="DA1144" s="609"/>
      <c r="DB1144" s="609"/>
      <c r="DC1144" s="609"/>
      <c r="DD1144" s="609"/>
      <c r="DE1144" s="609"/>
      <c r="DF1144" s="609"/>
      <c r="DG1144" s="609"/>
      <c r="DH1144" s="609"/>
      <c r="DI1144" s="609"/>
      <c r="DJ1144" s="609"/>
      <c r="DK1144" s="609"/>
      <c r="DL1144" s="609"/>
      <c r="DM1144" s="609"/>
      <c r="DN1144" s="609"/>
      <c r="DO1144" s="609"/>
      <c r="DP1144" s="609"/>
      <c r="DQ1144" s="609"/>
      <c r="DR1144" s="609"/>
      <c r="DS1144" s="609"/>
      <c r="DT1144" s="609"/>
      <c r="DU1144" s="609"/>
      <c r="DV1144" s="609"/>
      <c r="DW1144" s="609"/>
      <c r="DX1144" s="609"/>
      <c r="DY1144" s="609"/>
      <c r="DZ1144" s="609"/>
      <c r="EA1144" s="609"/>
      <c r="EB1144" s="609"/>
      <c r="EC1144" s="609"/>
      <c r="ED1144" s="609"/>
      <c r="EE1144" s="609"/>
      <c r="EF1144" s="609"/>
      <c r="EG1144" s="609"/>
      <c r="EH1144" s="609"/>
      <c r="EI1144" s="609"/>
      <c r="EJ1144" s="609"/>
      <c r="EK1144" s="609"/>
      <c r="EL1144" s="609"/>
      <c r="EM1144" s="609"/>
      <c r="EN1144" s="609"/>
      <c r="EO1144" s="609"/>
      <c r="EP1144" s="609"/>
      <c r="EQ1144" s="609"/>
      <c r="ER1144" s="609"/>
      <c r="ES1144" s="609"/>
      <c r="ET1144" s="609"/>
      <c r="EU1144" s="609"/>
      <c r="EV1144" s="609"/>
      <c r="EW1144" s="609"/>
      <c r="EX1144" s="609"/>
      <c r="EY1144" s="609"/>
      <c r="EZ1144" s="609"/>
      <c r="FA1144" s="609"/>
      <c r="FB1144" s="609"/>
      <c r="FC1144" s="609"/>
      <c r="FD1144" s="609"/>
      <c r="FE1144" s="609"/>
      <c r="FF1144" s="609"/>
      <c r="FG1144" s="609"/>
      <c r="FH1144" s="609"/>
      <c r="FI1144" s="609"/>
      <c r="FJ1144" s="609"/>
      <c r="FK1144" s="609"/>
      <c r="FL1144" s="609"/>
      <c r="FM1144" s="609"/>
      <c r="FN1144" s="609"/>
      <c r="FO1144" s="609"/>
      <c r="FP1144" s="609"/>
      <c r="FQ1144" s="609"/>
      <c r="FR1144" s="609"/>
      <c r="FS1144" s="609"/>
      <c r="FT1144" s="609"/>
      <c r="FU1144" s="609"/>
      <c r="FV1144" s="609"/>
      <c r="FW1144" s="609"/>
      <c r="FX1144" s="609"/>
      <c r="FY1144" s="609"/>
      <c r="FZ1144" s="609"/>
      <c r="GA1144" s="609"/>
      <c r="GB1144" s="609"/>
      <c r="GC1144" s="609"/>
      <c r="GD1144" s="609"/>
      <c r="GE1144" s="609"/>
      <c r="GF1144" s="609"/>
      <c r="GG1144" s="609"/>
      <c r="GH1144" s="609"/>
      <c r="GI1144" s="609"/>
      <c r="GJ1144" s="609"/>
      <c r="GK1144" s="609"/>
      <c r="GL1144" s="609"/>
      <c r="GM1144" s="609"/>
      <c r="GN1144" s="609"/>
      <c r="GO1144" s="609"/>
      <c r="GP1144" s="609"/>
      <c r="GQ1144" s="609"/>
      <c r="GR1144" s="609"/>
      <c r="GS1144" s="609"/>
      <c r="GT1144" s="609"/>
      <c r="GU1144" s="609"/>
      <c r="GV1144" s="609"/>
      <c r="GW1144" s="609"/>
      <c r="GX1144" s="609"/>
      <c r="GY1144" s="609"/>
      <c r="GZ1144" s="609"/>
      <c r="HA1144" s="609"/>
      <c r="HB1144" s="609"/>
      <c r="HC1144" s="609"/>
      <c r="HD1144" s="609"/>
      <c r="HE1144" s="609"/>
      <c r="HF1144" s="609"/>
      <c r="HG1144" s="609"/>
      <c r="HH1144" s="609"/>
      <c r="HI1144" s="609"/>
      <c r="HJ1144" s="609"/>
      <c r="HK1144" s="609"/>
      <c r="HL1144" s="609"/>
      <c r="HM1144" s="609"/>
      <c r="HN1144" s="609"/>
      <c r="HO1144" s="609"/>
      <c r="HP1144" s="609"/>
      <c r="HQ1144" s="609"/>
      <c r="HR1144" s="609"/>
      <c r="HS1144" s="609"/>
      <c r="HT1144" s="609"/>
      <c r="HU1144" s="609"/>
      <c r="HV1144" s="609"/>
      <c r="HW1144" s="609"/>
      <c r="HX1144" s="609"/>
      <c r="HY1144" s="609"/>
      <c r="HZ1144" s="609"/>
      <c r="IA1144" s="609"/>
      <c r="IB1144" s="609"/>
      <c r="IC1144" s="609"/>
      <c r="ID1144" s="609"/>
      <c r="IE1144" s="609"/>
      <c r="IF1144" s="609"/>
      <c r="IG1144" s="609"/>
      <c r="IH1144" s="609"/>
      <c r="II1144" s="609"/>
      <c r="IJ1144" s="609"/>
      <c r="IK1144" s="609"/>
      <c r="IL1144" s="609"/>
      <c r="IM1144" s="609"/>
      <c r="IN1144" s="609"/>
      <c r="IO1144" s="609"/>
      <c r="IP1144" s="609"/>
      <c r="IQ1144" s="609"/>
      <c r="IR1144" s="609"/>
      <c r="IS1144" s="609"/>
      <c r="IT1144" s="609"/>
      <c r="IU1144" s="609"/>
      <c r="IV1144" s="609"/>
    </row>
    <row r="1145" spans="1:256" s="642" customFormat="1" x14ac:dyDescent="0.25">
      <c r="A1145" s="634" t="s">
        <v>277</v>
      </c>
      <c r="B1145" s="634">
        <v>2439</v>
      </c>
      <c r="C1145" s="636"/>
      <c r="D1145" s="612" t="s">
        <v>1707</v>
      </c>
      <c r="E1145" s="636" t="s">
        <v>229</v>
      </c>
      <c r="F1145" s="612">
        <v>1</v>
      </c>
      <c r="G1145" s="681">
        <v>16.2</v>
      </c>
      <c r="H1145" s="612"/>
      <c r="I1145" s="695"/>
      <c r="J1145" s="695">
        <f>ROUND(F1145*G1145,2)</f>
        <v>16.2</v>
      </c>
      <c r="K1145" s="695"/>
      <c r="L1145" s="695"/>
      <c r="M1145" s="695"/>
      <c r="N1145" s="695"/>
      <c r="O1145" s="695"/>
      <c r="P1145" s="695"/>
      <c r="Q1145" s="609"/>
      <c r="R1145" s="609"/>
      <c r="S1145" s="609"/>
      <c r="T1145" s="609"/>
      <c r="U1145" s="609"/>
      <c r="V1145" s="609"/>
      <c r="W1145" s="609"/>
      <c r="X1145" s="609"/>
      <c r="Y1145" s="609"/>
      <c r="Z1145" s="609"/>
      <c r="AA1145" s="609"/>
      <c r="AB1145" s="609"/>
      <c r="AC1145" s="609"/>
      <c r="AD1145" s="609"/>
      <c r="AE1145" s="609"/>
      <c r="AF1145" s="609"/>
      <c r="AG1145" s="609"/>
      <c r="AH1145" s="609"/>
      <c r="AI1145" s="609"/>
      <c r="AJ1145" s="609"/>
      <c r="AK1145" s="609"/>
      <c r="AL1145" s="609"/>
      <c r="AM1145" s="609"/>
      <c r="AN1145" s="609"/>
      <c r="AO1145" s="609"/>
      <c r="AP1145" s="609"/>
      <c r="AQ1145" s="609"/>
      <c r="AR1145" s="609"/>
      <c r="AS1145" s="609"/>
      <c r="AT1145" s="609"/>
      <c r="AU1145" s="609"/>
      <c r="AV1145" s="609"/>
      <c r="AW1145" s="609"/>
      <c r="AX1145" s="609"/>
      <c r="AY1145" s="609"/>
      <c r="AZ1145" s="609"/>
      <c r="BA1145" s="609"/>
      <c r="BB1145" s="609"/>
      <c r="BC1145" s="609"/>
      <c r="BD1145" s="609"/>
      <c r="BE1145" s="609"/>
      <c r="BF1145" s="609"/>
      <c r="BG1145" s="609"/>
      <c r="BH1145" s="609"/>
      <c r="BI1145" s="609"/>
      <c r="BJ1145" s="609"/>
      <c r="BK1145" s="609"/>
      <c r="BL1145" s="609"/>
      <c r="BM1145" s="609"/>
      <c r="BN1145" s="609"/>
      <c r="BO1145" s="609"/>
      <c r="BP1145" s="609"/>
      <c r="BQ1145" s="609"/>
      <c r="BR1145" s="609"/>
      <c r="BS1145" s="609"/>
      <c r="BT1145" s="609"/>
      <c r="BU1145" s="609"/>
      <c r="BV1145" s="609"/>
      <c r="BW1145" s="609"/>
      <c r="BX1145" s="609"/>
      <c r="BY1145" s="609"/>
      <c r="BZ1145" s="609"/>
      <c r="CA1145" s="609"/>
      <c r="CB1145" s="609"/>
      <c r="CC1145" s="609"/>
      <c r="CD1145" s="609"/>
      <c r="CE1145" s="609"/>
      <c r="CF1145" s="609"/>
      <c r="CG1145" s="609"/>
      <c r="CH1145" s="609"/>
      <c r="CI1145" s="609"/>
      <c r="CJ1145" s="609"/>
      <c r="CK1145" s="609"/>
      <c r="CL1145" s="609"/>
      <c r="CM1145" s="609"/>
      <c r="CN1145" s="609"/>
      <c r="CO1145" s="609"/>
      <c r="CP1145" s="609"/>
      <c r="CQ1145" s="609"/>
      <c r="CR1145" s="609"/>
      <c r="CS1145" s="609"/>
      <c r="CT1145" s="609"/>
      <c r="CU1145" s="609"/>
      <c r="CV1145" s="609"/>
      <c r="CW1145" s="609"/>
      <c r="CX1145" s="609"/>
      <c r="CY1145" s="609"/>
      <c r="CZ1145" s="609"/>
      <c r="DA1145" s="609"/>
      <c r="DB1145" s="609"/>
      <c r="DC1145" s="609"/>
      <c r="DD1145" s="609"/>
      <c r="DE1145" s="609"/>
      <c r="DF1145" s="609"/>
      <c r="DG1145" s="609"/>
      <c r="DH1145" s="609"/>
      <c r="DI1145" s="609"/>
      <c r="DJ1145" s="609"/>
      <c r="DK1145" s="609"/>
      <c r="DL1145" s="609"/>
      <c r="DM1145" s="609"/>
      <c r="DN1145" s="609"/>
      <c r="DO1145" s="609"/>
      <c r="DP1145" s="609"/>
      <c r="DQ1145" s="609"/>
      <c r="DR1145" s="609"/>
      <c r="DS1145" s="609"/>
      <c r="DT1145" s="609"/>
      <c r="DU1145" s="609"/>
      <c r="DV1145" s="609"/>
      <c r="DW1145" s="609"/>
      <c r="DX1145" s="609"/>
      <c r="DY1145" s="609"/>
      <c r="DZ1145" s="609"/>
      <c r="EA1145" s="609"/>
      <c r="EB1145" s="609"/>
      <c r="EC1145" s="609"/>
      <c r="ED1145" s="609"/>
      <c r="EE1145" s="609"/>
      <c r="EF1145" s="609"/>
      <c r="EG1145" s="609"/>
      <c r="EH1145" s="609"/>
      <c r="EI1145" s="609"/>
      <c r="EJ1145" s="609"/>
      <c r="EK1145" s="609"/>
      <c r="EL1145" s="609"/>
      <c r="EM1145" s="609"/>
      <c r="EN1145" s="609"/>
      <c r="EO1145" s="609"/>
      <c r="EP1145" s="609"/>
      <c r="EQ1145" s="609"/>
      <c r="ER1145" s="609"/>
      <c r="ES1145" s="609"/>
      <c r="ET1145" s="609"/>
      <c r="EU1145" s="609"/>
      <c r="EV1145" s="609"/>
      <c r="EW1145" s="609"/>
      <c r="EX1145" s="609"/>
      <c r="EY1145" s="609"/>
      <c r="EZ1145" s="609"/>
      <c r="FA1145" s="609"/>
      <c r="FB1145" s="609"/>
      <c r="FC1145" s="609"/>
      <c r="FD1145" s="609"/>
      <c r="FE1145" s="609"/>
      <c r="FF1145" s="609"/>
      <c r="FG1145" s="609"/>
      <c r="FH1145" s="609"/>
      <c r="FI1145" s="609"/>
      <c r="FJ1145" s="609"/>
      <c r="FK1145" s="609"/>
      <c r="FL1145" s="609"/>
      <c r="FM1145" s="609"/>
      <c r="FN1145" s="609"/>
      <c r="FO1145" s="609"/>
      <c r="FP1145" s="609"/>
      <c r="FQ1145" s="609"/>
      <c r="FR1145" s="609"/>
      <c r="FS1145" s="609"/>
      <c r="FT1145" s="609"/>
      <c r="FU1145" s="609"/>
      <c r="FV1145" s="609"/>
      <c r="FW1145" s="609"/>
      <c r="FX1145" s="609"/>
      <c r="FY1145" s="609"/>
      <c r="FZ1145" s="609"/>
      <c r="GA1145" s="609"/>
      <c r="GB1145" s="609"/>
      <c r="GC1145" s="609"/>
      <c r="GD1145" s="609"/>
      <c r="GE1145" s="609"/>
      <c r="GF1145" s="609"/>
      <c r="GG1145" s="609"/>
      <c r="GH1145" s="609"/>
      <c r="GI1145" s="609"/>
      <c r="GJ1145" s="609"/>
      <c r="GK1145" s="609"/>
      <c r="GL1145" s="609"/>
      <c r="GM1145" s="609"/>
      <c r="GN1145" s="609"/>
      <c r="GO1145" s="609"/>
      <c r="GP1145" s="609"/>
      <c r="GQ1145" s="609"/>
      <c r="GR1145" s="609"/>
      <c r="GS1145" s="609"/>
      <c r="GT1145" s="609"/>
      <c r="GU1145" s="609"/>
      <c r="GV1145" s="609"/>
      <c r="GW1145" s="609"/>
      <c r="GX1145" s="609"/>
      <c r="GY1145" s="609"/>
      <c r="GZ1145" s="609"/>
      <c r="HA1145" s="609"/>
      <c r="HB1145" s="609"/>
      <c r="HC1145" s="609"/>
      <c r="HD1145" s="609"/>
      <c r="HE1145" s="609"/>
      <c r="HF1145" s="609"/>
      <c r="HG1145" s="609"/>
      <c r="HH1145" s="609"/>
      <c r="HI1145" s="609"/>
      <c r="HJ1145" s="609"/>
      <c r="HK1145" s="609"/>
      <c r="HL1145" s="609"/>
      <c r="HM1145" s="609"/>
      <c r="HN1145" s="609"/>
      <c r="HO1145" s="609"/>
      <c r="HP1145" s="609"/>
      <c r="HQ1145" s="609"/>
      <c r="HR1145" s="609"/>
      <c r="HS1145" s="609"/>
      <c r="HT1145" s="609"/>
      <c r="HU1145" s="609"/>
      <c r="HV1145" s="609"/>
      <c r="HW1145" s="609"/>
      <c r="HX1145" s="609"/>
      <c r="HY1145" s="609"/>
      <c r="HZ1145" s="609"/>
      <c r="IA1145" s="609"/>
      <c r="IB1145" s="609"/>
      <c r="IC1145" s="609"/>
      <c r="ID1145" s="609"/>
      <c r="IE1145" s="609"/>
      <c r="IF1145" s="609"/>
      <c r="IG1145" s="609"/>
      <c r="IH1145" s="609"/>
      <c r="II1145" s="609"/>
      <c r="IJ1145" s="609"/>
      <c r="IK1145" s="609"/>
      <c r="IL1145" s="609"/>
      <c r="IM1145" s="609"/>
      <c r="IN1145" s="609"/>
      <c r="IO1145" s="609"/>
      <c r="IP1145" s="609"/>
      <c r="IQ1145" s="609"/>
      <c r="IR1145" s="609"/>
      <c r="IS1145" s="609"/>
      <c r="IT1145" s="609"/>
      <c r="IU1145" s="609"/>
      <c r="IV1145" s="609"/>
    </row>
    <row r="1146" spans="1:256" s="642" customFormat="1" x14ac:dyDescent="0.25">
      <c r="A1146" s="634" t="s">
        <v>277</v>
      </c>
      <c r="B1146" s="634">
        <v>247</v>
      </c>
      <c r="C1146" s="636"/>
      <c r="D1146" s="635" t="s">
        <v>1070</v>
      </c>
      <c r="E1146" s="636" t="s">
        <v>229</v>
      </c>
      <c r="F1146" s="612">
        <v>1</v>
      </c>
      <c r="G1146" s="681">
        <v>9.65</v>
      </c>
      <c r="H1146" s="612"/>
      <c r="I1146" s="695"/>
      <c r="J1146" s="695">
        <f>ROUND(F1146*G1146,2)</f>
        <v>9.65</v>
      </c>
      <c r="K1146" s="695"/>
      <c r="L1146" s="695"/>
      <c r="M1146" s="695"/>
      <c r="N1146" s="695"/>
      <c r="O1146" s="695"/>
      <c r="P1146" s="695"/>
      <c r="Q1146" s="609"/>
      <c r="R1146" s="609"/>
      <c r="S1146" s="609"/>
      <c r="T1146" s="609"/>
      <c r="U1146" s="609"/>
      <c r="V1146" s="609"/>
      <c r="W1146" s="609"/>
      <c r="X1146" s="609"/>
      <c r="Y1146" s="609"/>
      <c r="Z1146" s="609"/>
      <c r="AA1146" s="609"/>
      <c r="AB1146" s="609"/>
      <c r="AC1146" s="609"/>
      <c r="AD1146" s="609"/>
      <c r="AE1146" s="609"/>
      <c r="AF1146" s="609"/>
      <c r="AG1146" s="609"/>
      <c r="AH1146" s="609"/>
      <c r="AI1146" s="609"/>
      <c r="AJ1146" s="609"/>
      <c r="AK1146" s="609"/>
      <c r="AL1146" s="609"/>
      <c r="AM1146" s="609"/>
      <c r="AN1146" s="609"/>
      <c r="AO1146" s="609"/>
      <c r="AP1146" s="609"/>
      <c r="AQ1146" s="609"/>
      <c r="AR1146" s="609"/>
      <c r="AS1146" s="609"/>
      <c r="AT1146" s="609"/>
      <c r="AU1146" s="609"/>
      <c r="AV1146" s="609"/>
      <c r="AW1146" s="609"/>
      <c r="AX1146" s="609"/>
      <c r="AY1146" s="609"/>
      <c r="AZ1146" s="609"/>
      <c r="BA1146" s="609"/>
      <c r="BB1146" s="609"/>
      <c r="BC1146" s="609"/>
      <c r="BD1146" s="609"/>
      <c r="BE1146" s="609"/>
      <c r="BF1146" s="609"/>
      <c r="BG1146" s="609"/>
      <c r="BH1146" s="609"/>
      <c r="BI1146" s="609"/>
      <c r="BJ1146" s="609"/>
      <c r="BK1146" s="609"/>
      <c r="BL1146" s="609"/>
      <c r="BM1146" s="609"/>
      <c r="BN1146" s="609"/>
      <c r="BO1146" s="609"/>
      <c r="BP1146" s="609"/>
      <c r="BQ1146" s="609"/>
      <c r="BR1146" s="609"/>
      <c r="BS1146" s="609"/>
      <c r="BT1146" s="609"/>
      <c r="BU1146" s="609"/>
      <c r="BV1146" s="609"/>
      <c r="BW1146" s="609"/>
      <c r="BX1146" s="609"/>
      <c r="BY1146" s="609"/>
      <c r="BZ1146" s="609"/>
      <c r="CA1146" s="609"/>
      <c r="CB1146" s="609"/>
      <c r="CC1146" s="609"/>
      <c r="CD1146" s="609"/>
      <c r="CE1146" s="609"/>
      <c r="CF1146" s="609"/>
      <c r="CG1146" s="609"/>
      <c r="CH1146" s="609"/>
      <c r="CI1146" s="609"/>
      <c r="CJ1146" s="609"/>
      <c r="CK1146" s="609"/>
      <c r="CL1146" s="609"/>
      <c r="CM1146" s="609"/>
      <c r="CN1146" s="609"/>
      <c r="CO1146" s="609"/>
      <c r="CP1146" s="609"/>
      <c r="CQ1146" s="609"/>
      <c r="CR1146" s="609"/>
      <c r="CS1146" s="609"/>
      <c r="CT1146" s="609"/>
      <c r="CU1146" s="609"/>
      <c r="CV1146" s="609"/>
      <c r="CW1146" s="609"/>
      <c r="CX1146" s="609"/>
      <c r="CY1146" s="609"/>
      <c r="CZ1146" s="609"/>
      <c r="DA1146" s="609"/>
      <c r="DB1146" s="609"/>
      <c r="DC1146" s="609"/>
      <c r="DD1146" s="609"/>
      <c r="DE1146" s="609"/>
      <c r="DF1146" s="609"/>
      <c r="DG1146" s="609"/>
      <c r="DH1146" s="609"/>
      <c r="DI1146" s="609"/>
      <c r="DJ1146" s="609"/>
      <c r="DK1146" s="609"/>
      <c r="DL1146" s="609"/>
      <c r="DM1146" s="609"/>
      <c r="DN1146" s="609"/>
      <c r="DO1146" s="609"/>
      <c r="DP1146" s="609"/>
      <c r="DQ1146" s="609"/>
      <c r="DR1146" s="609"/>
      <c r="DS1146" s="609"/>
      <c r="DT1146" s="609"/>
      <c r="DU1146" s="609"/>
      <c r="DV1146" s="609"/>
      <c r="DW1146" s="609"/>
      <c r="DX1146" s="609"/>
      <c r="DY1146" s="609"/>
      <c r="DZ1146" s="609"/>
      <c r="EA1146" s="609"/>
      <c r="EB1146" s="609"/>
      <c r="EC1146" s="609"/>
      <c r="ED1146" s="609"/>
      <c r="EE1146" s="609"/>
      <c r="EF1146" s="609"/>
      <c r="EG1146" s="609"/>
      <c r="EH1146" s="609"/>
      <c r="EI1146" s="609"/>
      <c r="EJ1146" s="609"/>
      <c r="EK1146" s="609"/>
      <c r="EL1146" s="609"/>
      <c r="EM1146" s="609"/>
      <c r="EN1146" s="609"/>
      <c r="EO1146" s="609"/>
      <c r="EP1146" s="609"/>
      <c r="EQ1146" s="609"/>
      <c r="ER1146" s="609"/>
      <c r="ES1146" s="609"/>
      <c r="ET1146" s="609"/>
      <c r="EU1146" s="609"/>
      <c r="EV1146" s="609"/>
      <c r="EW1146" s="609"/>
      <c r="EX1146" s="609"/>
      <c r="EY1146" s="609"/>
      <c r="EZ1146" s="609"/>
      <c r="FA1146" s="609"/>
      <c r="FB1146" s="609"/>
      <c r="FC1146" s="609"/>
      <c r="FD1146" s="609"/>
      <c r="FE1146" s="609"/>
      <c r="FF1146" s="609"/>
      <c r="FG1146" s="609"/>
      <c r="FH1146" s="609"/>
      <c r="FI1146" s="609"/>
      <c r="FJ1146" s="609"/>
      <c r="FK1146" s="609"/>
      <c r="FL1146" s="609"/>
      <c r="FM1146" s="609"/>
      <c r="FN1146" s="609"/>
      <c r="FO1146" s="609"/>
      <c r="FP1146" s="609"/>
      <c r="FQ1146" s="609"/>
      <c r="FR1146" s="609"/>
      <c r="FS1146" s="609"/>
      <c r="FT1146" s="609"/>
      <c r="FU1146" s="609"/>
      <c r="FV1146" s="609"/>
      <c r="FW1146" s="609"/>
      <c r="FX1146" s="609"/>
      <c r="FY1146" s="609"/>
      <c r="FZ1146" s="609"/>
      <c r="GA1146" s="609"/>
      <c r="GB1146" s="609"/>
      <c r="GC1146" s="609"/>
      <c r="GD1146" s="609"/>
      <c r="GE1146" s="609"/>
      <c r="GF1146" s="609"/>
      <c r="GG1146" s="609"/>
      <c r="GH1146" s="609"/>
      <c r="GI1146" s="609"/>
      <c r="GJ1146" s="609"/>
      <c r="GK1146" s="609"/>
      <c r="GL1146" s="609"/>
      <c r="GM1146" s="609"/>
      <c r="GN1146" s="609"/>
      <c r="GO1146" s="609"/>
      <c r="GP1146" s="609"/>
      <c r="GQ1146" s="609"/>
      <c r="GR1146" s="609"/>
      <c r="GS1146" s="609"/>
      <c r="GT1146" s="609"/>
      <c r="GU1146" s="609"/>
      <c r="GV1146" s="609"/>
      <c r="GW1146" s="609"/>
      <c r="GX1146" s="609"/>
      <c r="GY1146" s="609"/>
      <c r="GZ1146" s="609"/>
      <c r="HA1146" s="609"/>
      <c r="HB1146" s="609"/>
      <c r="HC1146" s="609"/>
      <c r="HD1146" s="609"/>
      <c r="HE1146" s="609"/>
      <c r="HF1146" s="609"/>
      <c r="HG1146" s="609"/>
      <c r="HH1146" s="609"/>
      <c r="HI1146" s="609"/>
      <c r="HJ1146" s="609"/>
      <c r="HK1146" s="609"/>
      <c r="HL1146" s="609"/>
      <c r="HM1146" s="609"/>
      <c r="HN1146" s="609"/>
      <c r="HO1146" s="609"/>
      <c r="HP1146" s="609"/>
      <c r="HQ1146" s="609"/>
      <c r="HR1146" s="609"/>
      <c r="HS1146" s="609"/>
      <c r="HT1146" s="609"/>
      <c r="HU1146" s="609"/>
      <c r="HV1146" s="609"/>
      <c r="HW1146" s="609"/>
      <c r="HX1146" s="609"/>
      <c r="HY1146" s="609"/>
      <c r="HZ1146" s="609"/>
      <c r="IA1146" s="609"/>
      <c r="IB1146" s="609"/>
      <c r="IC1146" s="609"/>
      <c r="ID1146" s="609"/>
      <c r="IE1146" s="609"/>
      <c r="IF1146" s="609"/>
      <c r="IG1146" s="609"/>
      <c r="IH1146" s="609"/>
      <c r="II1146" s="609"/>
      <c r="IJ1146" s="609"/>
      <c r="IK1146" s="609"/>
      <c r="IL1146" s="609"/>
      <c r="IM1146" s="609"/>
      <c r="IN1146" s="609"/>
      <c r="IO1146" s="609"/>
      <c r="IP1146" s="609"/>
      <c r="IQ1146" s="609"/>
      <c r="IR1146" s="609"/>
      <c r="IS1146" s="609"/>
      <c r="IT1146" s="609"/>
      <c r="IU1146" s="609"/>
      <c r="IV1146" s="609"/>
    </row>
    <row r="1147" spans="1:256" s="642" customFormat="1" x14ac:dyDescent="0.25">
      <c r="A1147" s="634"/>
      <c r="B1147" s="634"/>
      <c r="C1147" s="636"/>
      <c r="D1147" s="635"/>
      <c r="E1147" s="636"/>
      <c r="F1147" s="612"/>
      <c r="G1147" s="681"/>
      <c r="H1147" s="612"/>
      <c r="I1147" s="695"/>
      <c r="J1147" s="695"/>
      <c r="K1147" s="695"/>
      <c r="L1147" s="695"/>
      <c r="M1147" s="695"/>
      <c r="N1147" s="695"/>
      <c r="O1147" s="695"/>
      <c r="P1147" s="695"/>
      <c r="Q1147" s="609"/>
      <c r="R1147" s="609"/>
      <c r="S1147" s="609"/>
      <c r="T1147" s="609"/>
      <c r="U1147" s="609"/>
      <c r="V1147" s="609"/>
      <c r="W1147" s="609"/>
      <c r="X1147" s="609"/>
      <c r="Y1147" s="609"/>
      <c r="Z1147" s="609"/>
      <c r="AA1147" s="609"/>
      <c r="AB1147" s="609"/>
      <c r="AC1147" s="609"/>
      <c r="AD1147" s="609"/>
      <c r="AE1147" s="609"/>
      <c r="AF1147" s="609"/>
      <c r="AG1147" s="609"/>
      <c r="AH1147" s="609"/>
      <c r="AI1147" s="609"/>
      <c r="AJ1147" s="609"/>
      <c r="AK1147" s="609"/>
      <c r="AL1147" s="609"/>
      <c r="AM1147" s="609"/>
      <c r="AN1147" s="609"/>
      <c r="AO1147" s="609"/>
      <c r="AP1147" s="609"/>
      <c r="AQ1147" s="609"/>
      <c r="AR1147" s="609"/>
      <c r="AS1147" s="609"/>
      <c r="AT1147" s="609"/>
      <c r="AU1147" s="609"/>
      <c r="AV1147" s="609"/>
      <c r="AW1147" s="609"/>
      <c r="AX1147" s="609"/>
      <c r="AY1147" s="609"/>
      <c r="AZ1147" s="609"/>
      <c r="BA1147" s="609"/>
      <c r="BB1147" s="609"/>
      <c r="BC1147" s="609"/>
      <c r="BD1147" s="609"/>
      <c r="BE1147" s="609"/>
      <c r="BF1147" s="609"/>
      <c r="BG1147" s="609"/>
      <c r="BH1147" s="609"/>
      <c r="BI1147" s="609"/>
      <c r="BJ1147" s="609"/>
      <c r="BK1147" s="609"/>
      <c r="BL1147" s="609"/>
      <c r="BM1147" s="609"/>
      <c r="BN1147" s="609"/>
      <c r="BO1147" s="609"/>
      <c r="BP1147" s="609"/>
      <c r="BQ1147" s="609"/>
      <c r="BR1147" s="609"/>
      <c r="BS1147" s="609"/>
      <c r="BT1147" s="609"/>
      <c r="BU1147" s="609"/>
      <c r="BV1147" s="609"/>
      <c r="BW1147" s="609"/>
      <c r="BX1147" s="609"/>
      <c r="BY1147" s="609"/>
      <c r="BZ1147" s="609"/>
      <c r="CA1147" s="609"/>
      <c r="CB1147" s="609"/>
      <c r="CC1147" s="609"/>
      <c r="CD1147" s="609"/>
      <c r="CE1147" s="609"/>
      <c r="CF1147" s="609"/>
      <c r="CG1147" s="609"/>
      <c r="CH1147" s="609"/>
      <c r="CI1147" s="609"/>
      <c r="CJ1147" s="609"/>
      <c r="CK1147" s="609"/>
      <c r="CL1147" s="609"/>
      <c r="CM1147" s="609"/>
      <c r="CN1147" s="609"/>
      <c r="CO1147" s="609"/>
      <c r="CP1147" s="609"/>
      <c r="CQ1147" s="609"/>
      <c r="CR1147" s="609"/>
      <c r="CS1147" s="609"/>
      <c r="CT1147" s="609"/>
      <c r="CU1147" s="609"/>
      <c r="CV1147" s="609"/>
      <c r="CW1147" s="609"/>
      <c r="CX1147" s="609"/>
      <c r="CY1147" s="609"/>
      <c r="CZ1147" s="609"/>
      <c r="DA1147" s="609"/>
      <c r="DB1147" s="609"/>
      <c r="DC1147" s="609"/>
      <c r="DD1147" s="609"/>
      <c r="DE1147" s="609"/>
      <c r="DF1147" s="609"/>
      <c r="DG1147" s="609"/>
      <c r="DH1147" s="609"/>
      <c r="DI1147" s="609"/>
      <c r="DJ1147" s="609"/>
      <c r="DK1147" s="609"/>
      <c r="DL1147" s="609"/>
      <c r="DM1147" s="609"/>
      <c r="DN1147" s="609"/>
      <c r="DO1147" s="609"/>
      <c r="DP1147" s="609"/>
      <c r="DQ1147" s="609"/>
      <c r="DR1147" s="609"/>
      <c r="DS1147" s="609"/>
      <c r="DT1147" s="609"/>
      <c r="DU1147" s="609"/>
      <c r="DV1147" s="609"/>
      <c r="DW1147" s="609"/>
      <c r="DX1147" s="609"/>
      <c r="DY1147" s="609"/>
      <c r="DZ1147" s="609"/>
      <c r="EA1147" s="609"/>
      <c r="EB1147" s="609"/>
      <c r="EC1147" s="609"/>
      <c r="ED1147" s="609"/>
      <c r="EE1147" s="609"/>
      <c r="EF1147" s="609"/>
      <c r="EG1147" s="609"/>
      <c r="EH1147" s="609"/>
      <c r="EI1147" s="609"/>
      <c r="EJ1147" s="609"/>
      <c r="EK1147" s="609"/>
      <c r="EL1147" s="609"/>
      <c r="EM1147" s="609"/>
      <c r="EN1147" s="609"/>
      <c r="EO1147" s="609"/>
      <c r="EP1147" s="609"/>
      <c r="EQ1147" s="609"/>
      <c r="ER1147" s="609"/>
      <c r="ES1147" s="609"/>
      <c r="ET1147" s="609"/>
      <c r="EU1147" s="609"/>
      <c r="EV1147" s="609"/>
      <c r="EW1147" s="609"/>
      <c r="EX1147" s="609"/>
      <c r="EY1147" s="609"/>
      <c r="EZ1147" s="609"/>
      <c r="FA1147" s="609"/>
      <c r="FB1147" s="609"/>
      <c r="FC1147" s="609"/>
      <c r="FD1147" s="609"/>
      <c r="FE1147" s="609"/>
      <c r="FF1147" s="609"/>
      <c r="FG1147" s="609"/>
      <c r="FH1147" s="609"/>
      <c r="FI1147" s="609"/>
      <c r="FJ1147" s="609"/>
      <c r="FK1147" s="609"/>
      <c r="FL1147" s="609"/>
      <c r="FM1147" s="609"/>
      <c r="FN1147" s="609"/>
      <c r="FO1147" s="609"/>
      <c r="FP1147" s="609"/>
      <c r="FQ1147" s="609"/>
      <c r="FR1147" s="609"/>
      <c r="FS1147" s="609"/>
      <c r="FT1147" s="609"/>
      <c r="FU1147" s="609"/>
      <c r="FV1147" s="609"/>
      <c r="FW1147" s="609"/>
      <c r="FX1147" s="609"/>
      <c r="FY1147" s="609"/>
      <c r="FZ1147" s="609"/>
      <c r="GA1147" s="609"/>
      <c r="GB1147" s="609"/>
      <c r="GC1147" s="609"/>
      <c r="GD1147" s="609"/>
      <c r="GE1147" s="609"/>
      <c r="GF1147" s="609"/>
      <c r="GG1147" s="609"/>
      <c r="GH1147" s="609"/>
      <c r="GI1147" s="609"/>
      <c r="GJ1147" s="609"/>
      <c r="GK1147" s="609"/>
      <c r="GL1147" s="609"/>
      <c r="GM1147" s="609"/>
      <c r="GN1147" s="609"/>
      <c r="GO1147" s="609"/>
      <c r="GP1147" s="609"/>
      <c r="GQ1147" s="609"/>
      <c r="GR1147" s="609"/>
      <c r="GS1147" s="609"/>
      <c r="GT1147" s="609"/>
      <c r="GU1147" s="609"/>
      <c r="GV1147" s="609"/>
      <c r="GW1147" s="609"/>
      <c r="GX1147" s="609"/>
      <c r="GY1147" s="609"/>
      <c r="GZ1147" s="609"/>
      <c r="HA1147" s="609"/>
      <c r="HB1147" s="609"/>
      <c r="HC1147" s="609"/>
      <c r="HD1147" s="609"/>
      <c r="HE1147" s="609"/>
      <c r="HF1147" s="609"/>
      <c r="HG1147" s="609"/>
      <c r="HH1147" s="609"/>
      <c r="HI1147" s="609"/>
      <c r="HJ1147" s="609"/>
      <c r="HK1147" s="609"/>
      <c r="HL1147" s="609"/>
      <c r="HM1147" s="609"/>
      <c r="HN1147" s="609"/>
      <c r="HO1147" s="609"/>
      <c r="HP1147" s="609"/>
      <c r="HQ1147" s="609"/>
      <c r="HR1147" s="609"/>
      <c r="HS1147" s="609"/>
      <c r="HT1147" s="609"/>
      <c r="HU1147" s="609"/>
      <c r="HV1147" s="609"/>
      <c r="HW1147" s="609"/>
      <c r="HX1147" s="609"/>
      <c r="HY1147" s="609"/>
      <c r="HZ1147" s="609"/>
      <c r="IA1147" s="609"/>
      <c r="IB1147" s="609"/>
      <c r="IC1147" s="609"/>
      <c r="ID1147" s="609"/>
      <c r="IE1147" s="609"/>
      <c r="IF1147" s="609"/>
      <c r="IG1147" s="609"/>
      <c r="IH1147" s="609"/>
      <c r="II1147" s="609"/>
      <c r="IJ1147" s="609"/>
      <c r="IK1147" s="609"/>
      <c r="IL1147" s="609"/>
      <c r="IM1147" s="609"/>
      <c r="IN1147" s="609"/>
      <c r="IO1147" s="609"/>
      <c r="IP1147" s="609"/>
      <c r="IQ1147" s="609"/>
      <c r="IR1147" s="609"/>
      <c r="IS1147" s="609"/>
      <c r="IT1147" s="609"/>
      <c r="IU1147" s="609"/>
      <c r="IV1147" s="609"/>
    </row>
    <row r="1148" spans="1:256" s="642" customFormat="1" x14ac:dyDescent="0.25">
      <c r="A1148" s="766"/>
      <c r="B1148" s="766"/>
      <c r="C1148" s="766"/>
      <c r="D1148" s="767" t="s">
        <v>1821</v>
      </c>
      <c r="E1148" s="766"/>
      <c r="F1148" s="768"/>
      <c r="G1148" s="769"/>
      <c r="H1148" s="768"/>
      <c r="I1148" s="770"/>
      <c r="J1148" s="770"/>
      <c r="K1148" s="771"/>
      <c r="L1148" s="772">
        <f>L11+L821+L890</f>
        <v>266969.48700000002</v>
      </c>
      <c r="M1148" s="856">
        <f>M11+M821+M890</f>
        <v>130908.96799999996</v>
      </c>
      <c r="N1148" s="772">
        <f>N11+N821+N890</f>
        <v>397878.45500000019</v>
      </c>
      <c r="O1148" s="772">
        <f>O11+O821+O890</f>
        <v>97718.948547999971</v>
      </c>
      <c r="P1148" s="856">
        <f>P11+P821+P890</f>
        <v>495597.40354800003</v>
      </c>
      <c r="Q1148" s="609"/>
      <c r="R1148" s="609"/>
      <c r="S1148" s="609"/>
      <c r="T1148" s="609"/>
      <c r="U1148" s="609"/>
      <c r="V1148" s="609"/>
      <c r="W1148" s="609"/>
      <c r="X1148" s="609"/>
      <c r="Y1148" s="609"/>
      <c r="Z1148" s="609"/>
      <c r="AA1148" s="609"/>
      <c r="AB1148" s="609"/>
      <c r="AC1148" s="609"/>
      <c r="AD1148" s="609"/>
      <c r="AE1148" s="609"/>
      <c r="AF1148" s="609"/>
      <c r="AG1148" s="609"/>
      <c r="AH1148" s="609"/>
      <c r="AI1148" s="609"/>
      <c r="AJ1148" s="609"/>
      <c r="AK1148" s="609"/>
      <c r="AL1148" s="609"/>
      <c r="AM1148" s="609"/>
      <c r="AN1148" s="609"/>
      <c r="AO1148" s="609"/>
      <c r="AP1148" s="609"/>
      <c r="AQ1148" s="609"/>
      <c r="AR1148" s="609"/>
      <c r="AS1148" s="609"/>
      <c r="AT1148" s="609"/>
      <c r="AU1148" s="609"/>
      <c r="AV1148" s="609"/>
      <c r="AW1148" s="609"/>
      <c r="AX1148" s="609"/>
      <c r="AY1148" s="609"/>
      <c r="AZ1148" s="609"/>
      <c r="BA1148" s="609"/>
      <c r="BB1148" s="609"/>
      <c r="BC1148" s="609"/>
      <c r="BD1148" s="609"/>
      <c r="BE1148" s="609"/>
      <c r="BF1148" s="609"/>
      <c r="BG1148" s="609"/>
      <c r="BH1148" s="609"/>
      <c r="BI1148" s="609"/>
      <c r="BJ1148" s="609"/>
      <c r="BK1148" s="609"/>
      <c r="BL1148" s="609"/>
      <c r="BM1148" s="609"/>
      <c r="BN1148" s="609"/>
      <c r="BO1148" s="609"/>
      <c r="BP1148" s="609"/>
      <c r="BQ1148" s="609"/>
      <c r="BR1148" s="609"/>
      <c r="BS1148" s="609"/>
      <c r="BT1148" s="609"/>
      <c r="BU1148" s="609"/>
      <c r="BV1148" s="609"/>
      <c r="BW1148" s="609"/>
      <c r="BX1148" s="609"/>
      <c r="BY1148" s="609"/>
      <c r="BZ1148" s="609"/>
      <c r="CA1148" s="609"/>
      <c r="CB1148" s="609"/>
      <c r="CC1148" s="609"/>
      <c r="CD1148" s="609"/>
      <c r="CE1148" s="609"/>
      <c r="CF1148" s="609"/>
      <c r="CG1148" s="609"/>
      <c r="CH1148" s="609"/>
      <c r="CI1148" s="609"/>
      <c r="CJ1148" s="609"/>
      <c r="CK1148" s="609"/>
      <c r="CL1148" s="609"/>
      <c r="CM1148" s="609"/>
      <c r="CN1148" s="609"/>
      <c r="CO1148" s="609"/>
      <c r="CP1148" s="609"/>
      <c r="CQ1148" s="609"/>
      <c r="CR1148" s="609"/>
      <c r="CS1148" s="609"/>
      <c r="CT1148" s="609"/>
      <c r="CU1148" s="609"/>
      <c r="CV1148" s="609"/>
      <c r="CW1148" s="609"/>
      <c r="CX1148" s="609"/>
      <c r="CY1148" s="609"/>
      <c r="CZ1148" s="609"/>
      <c r="DA1148" s="609"/>
      <c r="DB1148" s="609"/>
      <c r="DC1148" s="609"/>
      <c r="DD1148" s="609"/>
      <c r="DE1148" s="609"/>
      <c r="DF1148" s="609"/>
      <c r="DG1148" s="609"/>
      <c r="DH1148" s="609"/>
      <c r="DI1148" s="609"/>
      <c r="DJ1148" s="609"/>
      <c r="DK1148" s="609"/>
      <c r="DL1148" s="609"/>
      <c r="DM1148" s="609"/>
      <c r="DN1148" s="609"/>
      <c r="DO1148" s="609"/>
      <c r="DP1148" s="609"/>
      <c r="DQ1148" s="609"/>
      <c r="DR1148" s="609"/>
      <c r="DS1148" s="609"/>
      <c r="DT1148" s="609"/>
      <c r="DU1148" s="609"/>
      <c r="DV1148" s="609"/>
      <c r="DW1148" s="609"/>
      <c r="DX1148" s="609"/>
      <c r="DY1148" s="609"/>
      <c r="DZ1148" s="609"/>
      <c r="EA1148" s="609"/>
      <c r="EB1148" s="609"/>
      <c r="EC1148" s="609"/>
      <c r="ED1148" s="609"/>
      <c r="EE1148" s="609"/>
      <c r="EF1148" s="609"/>
      <c r="EG1148" s="609"/>
      <c r="EH1148" s="609"/>
      <c r="EI1148" s="609"/>
      <c r="EJ1148" s="609"/>
      <c r="EK1148" s="609"/>
      <c r="EL1148" s="609"/>
      <c r="EM1148" s="609"/>
      <c r="EN1148" s="609"/>
      <c r="EO1148" s="609"/>
      <c r="EP1148" s="609"/>
      <c r="EQ1148" s="609"/>
      <c r="ER1148" s="609"/>
      <c r="ES1148" s="609"/>
      <c r="ET1148" s="609"/>
      <c r="EU1148" s="609"/>
      <c r="EV1148" s="609"/>
      <c r="EW1148" s="609"/>
      <c r="EX1148" s="609"/>
      <c r="EY1148" s="609"/>
      <c r="EZ1148" s="609"/>
      <c r="FA1148" s="609"/>
      <c r="FB1148" s="609"/>
      <c r="FC1148" s="609"/>
      <c r="FD1148" s="609"/>
      <c r="FE1148" s="609"/>
      <c r="FF1148" s="609"/>
      <c r="FG1148" s="609"/>
      <c r="FH1148" s="609"/>
      <c r="FI1148" s="609"/>
      <c r="FJ1148" s="609"/>
      <c r="FK1148" s="609"/>
      <c r="FL1148" s="609"/>
      <c r="FM1148" s="609"/>
      <c r="FN1148" s="609"/>
      <c r="FO1148" s="609"/>
      <c r="FP1148" s="609"/>
      <c r="FQ1148" s="609"/>
      <c r="FR1148" s="609"/>
      <c r="FS1148" s="609"/>
      <c r="FT1148" s="609"/>
      <c r="FU1148" s="609"/>
      <c r="FV1148" s="609"/>
      <c r="FW1148" s="609"/>
      <c r="FX1148" s="609"/>
      <c r="FY1148" s="609"/>
      <c r="FZ1148" s="609"/>
      <c r="GA1148" s="609"/>
      <c r="GB1148" s="609"/>
      <c r="GC1148" s="609"/>
      <c r="GD1148" s="609"/>
      <c r="GE1148" s="609"/>
      <c r="GF1148" s="609"/>
      <c r="GG1148" s="609"/>
      <c r="GH1148" s="609"/>
      <c r="GI1148" s="609"/>
      <c r="GJ1148" s="609"/>
      <c r="GK1148" s="609"/>
      <c r="GL1148" s="609"/>
      <c r="GM1148" s="609"/>
      <c r="GN1148" s="609"/>
      <c r="GO1148" s="609"/>
      <c r="GP1148" s="609"/>
      <c r="GQ1148" s="609"/>
      <c r="GR1148" s="609"/>
      <c r="GS1148" s="609"/>
      <c r="GT1148" s="609"/>
      <c r="GU1148" s="609"/>
      <c r="GV1148" s="609"/>
      <c r="GW1148" s="609"/>
      <c r="GX1148" s="609"/>
      <c r="GY1148" s="609"/>
      <c r="GZ1148" s="609"/>
      <c r="HA1148" s="609"/>
      <c r="HB1148" s="609"/>
      <c r="HC1148" s="609"/>
      <c r="HD1148" s="609"/>
      <c r="HE1148" s="609"/>
      <c r="HF1148" s="609"/>
      <c r="HG1148" s="609"/>
      <c r="HH1148" s="609"/>
      <c r="HI1148" s="609"/>
      <c r="HJ1148" s="609"/>
      <c r="HK1148" s="609"/>
      <c r="HL1148" s="609"/>
      <c r="HM1148" s="609"/>
      <c r="HN1148" s="609"/>
      <c r="HO1148" s="609"/>
      <c r="HP1148" s="609"/>
      <c r="HQ1148" s="609"/>
      <c r="HR1148" s="609"/>
      <c r="HS1148" s="609"/>
      <c r="HT1148" s="609"/>
      <c r="HU1148" s="609"/>
      <c r="HV1148" s="609"/>
      <c r="HW1148" s="609"/>
      <c r="HX1148" s="609"/>
      <c r="HY1148" s="609"/>
      <c r="HZ1148" s="609"/>
      <c r="IA1148" s="609"/>
      <c r="IB1148" s="609"/>
      <c r="IC1148" s="609"/>
      <c r="ID1148" s="609"/>
      <c r="IE1148" s="609"/>
      <c r="IF1148" s="609"/>
      <c r="IG1148" s="609"/>
      <c r="IH1148" s="609"/>
      <c r="II1148" s="609"/>
      <c r="IJ1148" s="609"/>
      <c r="IK1148" s="609"/>
      <c r="IL1148" s="609"/>
      <c r="IM1148" s="609"/>
      <c r="IN1148" s="609"/>
      <c r="IO1148" s="609"/>
      <c r="IP1148" s="609"/>
      <c r="IQ1148" s="609"/>
      <c r="IR1148" s="609"/>
      <c r="IS1148" s="609"/>
      <c r="IT1148" s="609"/>
      <c r="IU1148" s="609"/>
      <c r="IV1148" s="609"/>
    </row>
    <row r="1150" spans="1:256" x14ac:dyDescent="0.25">
      <c r="A1150" s="600" t="s">
        <v>1822</v>
      </c>
      <c r="N1150" s="857"/>
    </row>
    <row r="1152" spans="1:256" x14ac:dyDescent="0.25">
      <c r="A1152" s="613" t="s">
        <v>1108</v>
      </c>
      <c r="B1152" s="611">
        <f>COUNTIF($A$11:$A$1143,"Cotação")</f>
        <v>231</v>
      </c>
      <c r="C1152" s="775">
        <f>B1152/$B$1155</f>
        <v>0.29615384615384616</v>
      </c>
    </row>
    <row r="1153" spans="1:7" x14ac:dyDescent="0.25">
      <c r="A1153" s="613" t="s">
        <v>278</v>
      </c>
      <c r="B1153" s="611">
        <f>COUNTIF($A$11:$A$1143,"TCPO")</f>
        <v>60</v>
      </c>
      <c r="C1153" s="775">
        <f t="shared" ref="C1153:C1155" si="192">B1153/$B$1155</f>
        <v>7.6923076923076927E-2</v>
      </c>
      <c r="D1153" s="600"/>
      <c r="E1153" s="600"/>
      <c r="G1153" s="600"/>
    </row>
    <row r="1154" spans="1:7" x14ac:dyDescent="0.25">
      <c r="A1154" s="613" t="s">
        <v>277</v>
      </c>
      <c r="B1154" s="611">
        <f>COUNTIF($A$11:$A$1143,"SINAPI")</f>
        <v>489</v>
      </c>
      <c r="C1154" s="775">
        <f t="shared" si="192"/>
        <v>0.62692307692307692</v>
      </c>
      <c r="D1154" s="600"/>
      <c r="E1154" s="600"/>
      <c r="G1154" s="600"/>
    </row>
    <row r="1155" spans="1:7" x14ac:dyDescent="0.25">
      <c r="A1155" s="613" t="s">
        <v>332</v>
      </c>
      <c r="B1155" s="611">
        <f>SUM(B1152:B1154)</f>
        <v>780</v>
      </c>
      <c r="C1155" s="775">
        <f t="shared" si="192"/>
        <v>1</v>
      </c>
      <c r="D1155" s="600"/>
      <c r="E1155" s="600"/>
      <c r="G1155" s="600"/>
    </row>
  </sheetData>
  <customSheetViews>
    <customSheetView guid="{A9E6D264-7B9C-4375-A0CF-466470785BB4}">
      <selection activeCell="E39" sqref="E39"/>
      <pageMargins left="0.511811024" right="0.511811024" top="0.78740157499999996" bottom="0.78740157499999996" header="0.31496062000000002" footer="0.31496062000000002"/>
    </customSheetView>
  </customSheetViews>
  <mergeCells count="18">
    <mergeCell ref="P8:P9"/>
    <mergeCell ref="A8:A9"/>
    <mergeCell ref="B8:B9"/>
    <mergeCell ref="C8:C9"/>
    <mergeCell ref="D8:D9"/>
    <mergeCell ref="E8:E9"/>
    <mergeCell ref="F8:F9"/>
    <mergeCell ref="G8:G9"/>
    <mergeCell ref="H8:H9"/>
    <mergeCell ref="I8:K8"/>
    <mergeCell ref="L8:N8"/>
    <mergeCell ref="O8:O9"/>
    <mergeCell ref="B6:N6"/>
    <mergeCell ref="A1:P1"/>
    <mergeCell ref="A2:P2"/>
    <mergeCell ref="A3:P3"/>
    <mergeCell ref="B4:N4"/>
    <mergeCell ref="B5:N5"/>
  </mergeCells>
  <dataValidations disablePrompts="1" count="2">
    <dataValidation allowBlank="1" showInputMessage="1" showErrorMessage="1" prompt="Este valor não deve ser alterado, altere o custo do insuno." sqref="F966:F970 JB966:JB970 SX966:SX970 ACT966:ACT970 AMP966:AMP970 AWL966:AWL970 BGH966:BGH970 BQD966:BQD970 BZZ966:BZZ970 CJV966:CJV970 CTR966:CTR970 DDN966:DDN970 DNJ966:DNJ970 DXF966:DXF970 EHB966:EHB970 EQX966:EQX970 FAT966:FAT970 FKP966:FKP970 FUL966:FUL970 GEH966:GEH970 GOD966:GOD970 GXZ966:GXZ970 HHV966:HHV970 HRR966:HRR970 IBN966:IBN970 ILJ966:ILJ970 IVF966:IVF970 JFB966:JFB970 JOX966:JOX970 JYT966:JYT970 KIP966:KIP970 KSL966:KSL970 LCH966:LCH970 LMD966:LMD970 LVZ966:LVZ970 MFV966:MFV970 MPR966:MPR970 MZN966:MZN970 NJJ966:NJJ970 NTF966:NTF970 ODB966:ODB970 OMX966:OMX970 OWT966:OWT970 PGP966:PGP970 PQL966:PQL970 QAH966:QAH970 QKD966:QKD970 QTZ966:QTZ970 RDV966:RDV970 RNR966:RNR970 RXN966:RXN970 SHJ966:SHJ970 SRF966:SRF970 TBB966:TBB970 TKX966:TKX970 TUT966:TUT970 UEP966:UEP970 UOL966:UOL970 UYH966:UYH970 VID966:VID970 VRZ966:VRZ970 WBV966:WBV970 WLR966:WLR970 WVN966:WVN970 F1064:F1066 JB1064:JB1066 SX1064:SX1066 ACT1064:ACT1066 AMP1064:AMP1066 AWL1064:AWL1066 BGH1064:BGH1066 BQD1064:BQD1066 BZZ1064:BZZ1066 CJV1064:CJV1066 CTR1064:CTR1066 DDN1064:DDN1066 DNJ1064:DNJ1066 DXF1064:DXF1066 EHB1064:EHB1066 EQX1064:EQX1066 FAT1064:FAT1066 FKP1064:FKP1066 FUL1064:FUL1066 GEH1064:GEH1066 GOD1064:GOD1066 GXZ1064:GXZ1066 HHV1064:HHV1066 HRR1064:HRR1066 IBN1064:IBN1066 ILJ1064:ILJ1066 IVF1064:IVF1066 JFB1064:JFB1066 JOX1064:JOX1066 JYT1064:JYT1066 KIP1064:KIP1066 KSL1064:KSL1066 LCH1064:LCH1066 LMD1064:LMD1066 LVZ1064:LVZ1066 MFV1064:MFV1066 MPR1064:MPR1066 MZN1064:MZN1066 NJJ1064:NJJ1066 NTF1064:NTF1066 ODB1064:ODB1066 OMX1064:OMX1066 OWT1064:OWT1066 PGP1064:PGP1066 PQL1064:PQL1066 QAH1064:QAH1066 QKD1064:QKD1066 QTZ1064:QTZ1066 RDV1064:RDV1066 RNR1064:RNR1066 RXN1064:RXN1066 SHJ1064:SHJ1066 SRF1064:SRF1066 TBB1064:TBB1066 TKX1064:TKX1066 TUT1064:TUT1066 UEP1064:UEP1066 UOL1064:UOL1066 UYH1064:UYH1066 VID1064:VID1066 VRZ1064:VRZ1066 WBV1064:WBV1066 WLR1064:WLR1066 WVN1064:WVN1066 F1015:F1030 JB1015:JB1030 SX1015:SX1030 ACT1015:ACT1030 AMP1015:AMP1030 AWL1015:AWL1030 BGH1015:BGH1030 BQD1015:BQD1030 BZZ1015:BZZ1030 CJV1015:CJV1030 CTR1015:CTR1030 DDN1015:DDN1030 DNJ1015:DNJ1030 DXF1015:DXF1030 EHB1015:EHB1030 EQX1015:EQX1030 FAT1015:FAT1030 FKP1015:FKP1030 FUL1015:FUL1030 GEH1015:GEH1030 GOD1015:GOD1030 GXZ1015:GXZ1030 HHV1015:HHV1030 HRR1015:HRR1030 IBN1015:IBN1030 ILJ1015:ILJ1030 IVF1015:IVF1030 JFB1015:JFB1030 JOX1015:JOX1030 JYT1015:JYT1030 KIP1015:KIP1030 KSL1015:KSL1030 LCH1015:LCH1030 LMD1015:LMD1030 LVZ1015:LVZ1030 MFV1015:MFV1030 MPR1015:MPR1030 MZN1015:MZN1030 NJJ1015:NJJ1030 NTF1015:NTF1030 ODB1015:ODB1030 OMX1015:OMX1030 OWT1015:OWT1030 PGP1015:PGP1030 PQL1015:PQL1030 QAH1015:QAH1030 QKD1015:QKD1030 QTZ1015:QTZ1030 RDV1015:RDV1030 RNR1015:RNR1030 RXN1015:RXN1030 SHJ1015:SHJ1030 SRF1015:SRF1030 TBB1015:TBB1030 TKX1015:TKX1030 TUT1015:TUT1030 UEP1015:UEP1030 UOL1015:UOL1030 UYH1015:UYH1030 VID1015:VID1030 VRZ1015:VRZ1030 WBV1015:WBV1030 WLR1015:WLR1030 WVN1015:WVN1030 F996:F1007 JB996:JB1007 SX996:SX1007 ACT996:ACT1007 AMP996:AMP1007 AWL996:AWL1007 BGH996:BGH1007 BQD996:BQD1007 BZZ996:BZZ1007 CJV996:CJV1007 CTR996:CTR1007 DDN996:DDN1007 DNJ996:DNJ1007 DXF996:DXF1007 EHB996:EHB1007 EQX996:EQX1007 FAT996:FAT1007 FKP996:FKP1007 FUL996:FUL1007 GEH996:GEH1007 GOD996:GOD1007 GXZ996:GXZ1007 HHV996:HHV1007 HRR996:HRR1007 IBN996:IBN1007 ILJ996:ILJ1007 IVF996:IVF1007 JFB996:JFB1007 JOX996:JOX1007 JYT996:JYT1007 KIP996:KIP1007 KSL996:KSL1007 LCH996:LCH1007 LMD996:LMD1007 LVZ996:LVZ1007 MFV996:MFV1007 MPR996:MPR1007 MZN996:MZN1007 NJJ996:NJJ1007 NTF996:NTF1007 ODB996:ODB1007 OMX996:OMX1007 OWT996:OWT1007 PGP996:PGP1007 PQL996:PQL1007 QAH996:QAH1007 QKD996:QKD1007 QTZ996:QTZ1007 RDV996:RDV1007 RNR996:RNR1007 RXN996:RXN1007 SHJ996:SHJ1007 SRF996:SRF1007 TBB996:TBB1007 TKX996:TKX1007 TUT996:TUT1007 UEP996:UEP1007 UOL996:UOL1007 UYH996:UYH1007 VID996:VID1007 VRZ996:VRZ1007 WBV996:WBV1007 WLR996:WLR1007 WVN996:WVN1007"/>
    <dataValidation allowBlank="1" showInputMessage="1" showErrorMessage="1" prompt="Insumos iguais devem ter o mesmo custo atribuído." sqref="G996 JC996 SY996 ACU996 AMQ996 AWM996 BGI996 BQE996 CAA996 CJW996 CTS996 DDO996 DNK996 DXG996 EHC996 EQY996 FAU996 FKQ996 FUM996 GEI996 GOE996 GYA996 HHW996 HRS996 IBO996 ILK996 IVG996 JFC996 JOY996 JYU996 KIQ996 KSM996 LCI996 LME996 LWA996 MFW996 MPS996 MZO996 NJK996 NTG996 ODC996 OMY996 OWU996 PGQ996 PQM996 QAI996 QKE996 QUA996 RDW996 RNS996 RXO996 SHK996 SRG996 TBC996 TKY996 TUU996 UEQ996 UOM996 UYI996 VIE996 VSA996 WBW996 WLS996 WVO996 G1004 JC1004 SY1004 ACU1004 AMQ1004 AWM1004 BGI1004 BQE1004 CAA1004 CJW1004 CTS1004 DDO1004 DNK1004 DXG1004 EHC1004 EQY1004 FAU1004 FKQ1004 FUM1004 GEI1004 GOE1004 GYA1004 HHW1004 HRS1004 IBO1004 ILK1004 IVG1004 JFC1004 JOY1004 JYU1004 KIQ1004 KSM1004 LCI1004 LME1004 LWA1004 MFW1004 MPS1004 MZO1004 NJK1004 NTG1004 ODC1004 OMY1004 OWU1004 PGQ1004 PQM1004 QAI1004 QKE1004 QUA1004 RDW1004 RNS1004 RXO1004 SHK1004 SRG1004 TBC1004 TKY1004 TUU1004 UEQ1004 UOM1004 UYI1004 VIE1004 VSA1004 WBW1004 WLS1004 WVO1004 G966 JC966 SY966 ACU966 AMQ966 AWM966 BGI966 BQE966 CAA966 CJW966 CTS966 DDO966 DNK966 DXG966 EHC966 EQY966 FAU966 FKQ966 FUM966 GEI966 GOE966 GYA966 HHW966 HRS966 IBO966 ILK966 IVG966 JFC966 JOY966 JYU966 KIQ966 KSM966 LCI966 LME966 LWA966 MFW966 MPS966 MZO966 NJK966 NTG966 ODC966 OMY966 OWU966 PGQ966 PQM966 QAI966 QKE966 QUA966 RDW966 RNS966 RXO966 SHK966 SRG966 TBC966 TKY966 TUU966 UEQ966 UOM966 UYI966 VIE966 VSA966 WBW966 WLS966 WVO966 G1015 JC1015 SY1015 ACU1015 AMQ1015 AWM1015 BGI1015 BQE1015 CAA1015 CJW1015 CTS1015 DDO1015 DNK1015 DXG1015 EHC1015 EQY1015 FAU1015 FKQ1015 FUM1015 GEI1015 GOE1015 GYA1015 HHW1015 HRS1015 IBO1015 ILK1015 IVG1015 JFC1015 JOY1015 JYU1015 KIQ1015 KSM1015 LCI1015 LME1015 LWA1015 MFW1015 MPS1015 MZO1015 NJK1015 NTG1015 ODC1015 OMY1015 OWU1015 PGQ1015 PQM1015 QAI1015 QKE1015 QUA1015 RDW1015 RNS1015 RXO1015 SHK1015 SRG1015 TBC1015 TKY1015 TUU1015 UEQ1015 UOM1015 UYI1015 VIE1015 VSA1015 WBW1015 WLS1015 WVO1015 G1000 JC1000 SY1000 ACU1000 AMQ1000 AWM1000 BGI1000 BQE1000 CAA1000 CJW1000 CTS1000 DDO1000 DNK1000 DXG1000 EHC1000 EQY1000 FAU1000 FKQ1000 FUM1000 GEI1000 GOE1000 GYA1000 HHW1000 HRS1000 IBO1000 ILK1000 IVG1000 JFC1000 JOY1000 JYU1000 KIQ1000 KSM1000 LCI1000 LME1000 LWA1000 MFW1000 MPS1000 MZO1000 NJK1000 NTG1000 ODC1000 OMY1000 OWU1000 PGQ1000 PQM1000 QAI1000 QKE1000 QUA1000 RDW1000 RNS1000 RXO1000 SHK1000 SRG1000 TBC1000 TKY1000 TUU1000 UEQ1000 UOM1000 UYI1000 VIE1000 VSA1000 WBW1000 WLS1000 WVO1000 G1064 JC1064 SY1064 ACU1064 AMQ1064 AWM1064 BGI1064 BQE1064 CAA1064 CJW1064 CTS1064 DDO1064 DNK1064 DXG1064 EHC1064 EQY1064 FAU1064 FKQ1064 FUM1064 GEI1064 GOE1064 GYA1064 HHW1064 HRS1064 IBO1064 ILK1064 IVG1064 JFC1064 JOY1064 JYU1064 KIQ1064 KSM1064 LCI1064 LME1064 LWA1064 MFW1064 MPS1064 MZO1064 NJK1064 NTG1064 ODC1064 OMY1064 OWU1064 PGQ1064 PQM1064 QAI1064 QKE1064 QUA1064 RDW1064 RNS1064 RXO1064 SHK1064 SRG1064 TBC1064 TKY1064 TUU1064 UEQ1064 UOM1064 UYI1064 VIE1064 VSA1064 WBW1064 WLS1064 WVO1064 G1019 JC1019 SY1019 ACU1019 AMQ1019 AWM1019 BGI1019 BQE1019 CAA1019 CJW1019 CTS1019 DDO1019 DNK1019 DXG1019 EHC1019 EQY1019 FAU1019 FKQ1019 FUM1019 GEI1019 GOE1019 GYA1019 HHW1019 HRS1019 IBO1019 ILK1019 IVG1019 JFC1019 JOY1019 JYU1019 KIQ1019 KSM1019 LCI1019 LME1019 LWA1019 MFW1019 MPS1019 MZO1019 NJK1019 NTG1019 ODC1019 OMY1019 OWU1019 PGQ1019 PQM1019 QAI1019 QKE1019 QUA1019 RDW1019 RNS1019 RXO1019 SHK1019 SRG1019 TBC1019 TKY1019 TUU1019 UEQ1019 UOM1019 UYI1019 VIE1019 VSA1019 WBW1019 WLS1019 WVO1019"/>
  </dataValidations>
  <pageMargins left="0.51181102362204722" right="0.51181102362204722" top="0.78740157480314965" bottom="0.78740157480314965" header="0.31496062992125984" footer="0.31496062992125984"/>
  <pageSetup paperSize="9" scale="67" fitToHeight="4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321"/>
  <sheetViews>
    <sheetView topLeftCell="A198" zoomScale="130" zoomScaleNormal="130" workbookViewId="0">
      <selection activeCell="I198" sqref="I198"/>
    </sheetView>
  </sheetViews>
  <sheetFormatPr defaultRowHeight="11.25" x14ac:dyDescent="0.2"/>
  <cols>
    <col min="1" max="1" width="16.5703125" style="215" customWidth="1"/>
    <col min="2" max="2" width="17.28515625" style="215" customWidth="1"/>
    <col min="3" max="3" width="9.5703125" style="215" bestFit="1" customWidth="1"/>
    <col min="4" max="4" width="9.85546875" style="215" bestFit="1" customWidth="1"/>
    <col min="5" max="5" width="13.42578125" style="221" bestFit="1" customWidth="1"/>
    <col min="6" max="6" width="12.5703125" style="216" customWidth="1"/>
    <col min="7" max="7" width="13.28515625" style="216" customWidth="1"/>
    <col min="8" max="8" width="11.42578125" style="215" customWidth="1"/>
    <col min="9" max="9" width="9.140625" style="215" customWidth="1"/>
    <col min="10" max="11" width="11.5703125" style="215" customWidth="1"/>
    <col min="12" max="13" width="16.7109375" style="215" customWidth="1"/>
    <col min="14" max="14" width="12.28515625" style="215" customWidth="1"/>
    <col min="15" max="15" width="10.85546875" style="215" customWidth="1"/>
    <col min="16" max="16" width="10.7109375" style="215" bestFit="1" customWidth="1"/>
    <col min="17" max="17" width="8.140625" style="215" bestFit="1" customWidth="1"/>
    <col min="18" max="18" width="8.5703125" style="215" bestFit="1" customWidth="1"/>
    <col min="19" max="19" width="7.28515625" style="215" bestFit="1" customWidth="1"/>
    <col min="20" max="20" width="7.140625" style="215" bestFit="1" customWidth="1"/>
    <col min="21" max="21" width="7.5703125" style="215" bestFit="1" customWidth="1"/>
    <col min="22" max="22" width="7.140625" style="215" bestFit="1" customWidth="1"/>
    <col min="23" max="23" width="5.85546875" style="215" bestFit="1" customWidth="1"/>
    <col min="24" max="24" width="6.5703125" style="215" bestFit="1" customWidth="1"/>
    <col min="25" max="25" width="7.140625" style="215" bestFit="1" customWidth="1"/>
    <col min="26" max="26" width="6.5703125" style="215" bestFit="1" customWidth="1"/>
    <col min="27" max="27" width="4.85546875" style="215" bestFit="1" customWidth="1"/>
    <col min="28" max="28" width="8.85546875" style="215" bestFit="1" customWidth="1"/>
    <col min="29" max="29" width="7.140625" style="215" bestFit="1" customWidth="1"/>
    <col min="30" max="30" width="6.42578125" style="215" bestFit="1" customWidth="1"/>
    <col min="31" max="31" width="5.85546875" style="215" bestFit="1" customWidth="1"/>
    <col min="32" max="32" width="7.5703125" style="215" bestFit="1" customWidth="1"/>
    <col min="33" max="33" width="7.42578125" style="215" bestFit="1" customWidth="1"/>
    <col min="34" max="34" width="5.42578125" style="215" bestFit="1" customWidth="1"/>
    <col min="35" max="35" width="6.42578125" style="215" bestFit="1" customWidth="1"/>
    <col min="36" max="36" width="8.7109375" style="215" bestFit="1" customWidth="1"/>
    <col min="37" max="37" width="6.7109375" style="215" bestFit="1" customWidth="1"/>
    <col min="38" max="38" width="7.42578125" style="215" bestFit="1" customWidth="1"/>
    <col min="39" max="16384" width="9.140625" style="215"/>
  </cols>
  <sheetData>
    <row r="1" spans="1:38" ht="12.75" x14ac:dyDescent="0.2">
      <c r="A1" s="950" t="s">
        <v>349</v>
      </c>
      <c r="B1" s="951"/>
      <c r="C1" s="951"/>
      <c r="D1" s="951"/>
      <c r="E1" s="951"/>
      <c r="F1" s="951"/>
      <c r="G1" s="951"/>
      <c r="H1" s="951"/>
      <c r="I1" s="951"/>
      <c r="J1" s="951"/>
      <c r="K1" s="951"/>
      <c r="L1" s="952"/>
      <c r="M1" s="399"/>
      <c r="O1" s="852"/>
      <c r="P1" s="852"/>
      <c r="Q1" s="852"/>
      <c r="R1" s="852"/>
      <c r="S1" s="852"/>
      <c r="T1" s="852"/>
      <c r="U1" s="852"/>
      <c r="V1" s="852"/>
      <c r="W1" s="852"/>
    </row>
    <row r="2" spans="1:38" x14ac:dyDescent="0.2">
      <c r="O2" s="852"/>
      <c r="P2" s="852"/>
      <c r="Q2" s="852"/>
      <c r="R2" s="852"/>
      <c r="S2" s="852"/>
      <c r="T2" s="852"/>
      <c r="U2" s="852"/>
      <c r="V2" s="852"/>
      <c r="W2" s="852"/>
    </row>
    <row r="3" spans="1:38" ht="15" x14ac:dyDescent="0.25">
      <c r="A3" s="949" t="s">
        <v>501</v>
      </c>
      <c r="B3" s="919"/>
      <c r="C3" s="919"/>
      <c r="D3" s="919"/>
      <c r="E3" s="919"/>
      <c r="F3" s="919"/>
      <c r="G3" s="919"/>
      <c r="H3" s="919"/>
      <c r="I3" s="919"/>
      <c r="J3" s="919"/>
      <c r="K3" s="919"/>
      <c r="L3" s="919"/>
      <c r="M3" s="919"/>
      <c r="N3" s="920"/>
      <c r="O3" s="853"/>
      <c r="P3" s="853"/>
      <c r="Q3" s="853"/>
      <c r="R3" s="853"/>
      <c r="S3" s="853"/>
      <c r="T3" s="853"/>
      <c r="U3" s="853"/>
      <c r="V3" s="853"/>
      <c r="W3" s="852"/>
    </row>
    <row r="4" spans="1:38" x14ac:dyDescent="0.2">
      <c r="O4" s="852"/>
      <c r="P4" s="852"/>
      <c r="Q4" s="852"/>
      <c r="R4" s="852"/>
      <c r="S4" s="852"/>
      <c r="T4" s="852"/>
      <c r="U4" s="852"/>
      <c r="V4" s="852"/>
      <c r="W4" s="852"/>
    </row>
    <row r="5" spans="1:38" ht="15" x14ac:dyDescent="0.25">
      <c r="A5" s="944" t="s">
        <v>106</v>
      </c>
      <c r="B5" s="945"/>
      <c r="C5" s="945"/>
      <c r="D5" s="946"/>
      <c r="E5" s="314"/>
      <c r="F5" s="944" t="s">
        <v>580</v>
      </c>
      <c r="G5" s="945"/>
      <c r="H5" s="945"/>
      <c r="I5" s="946"/>
      <c r="J5" s="233"/>
      <c r="K5" s="944" t="s">
        <v>582</v>
      </c>
      <c r="L5" s="945"/>
      <c r="M5" s="945"/>
      <c r="N5" s="945"/>
      <c r="O5" s="852"/>
      <c r="P5" s="852"/>
      <c r="Q5" s="852"/>
      <c r="R5" s="852"/>
      <c r="S5" s="852"/>
      <c r="T5" s="852"/>
      <c r="U5" s="852"/>
      <c r="V5" s="852"/>
      <c r="W5" s="852"/>
      <c r="X5" s="851"/>
      <c r="Y5" s="238"/>
      <c r="Z5" s="238"/>
      <c r="AA5" s="238"/>
      <c r="AB5" s="238"/>
      <c r="AC5" s="238"/>
      <c r="AD5" s="238"/>
      <c r="AE5" s="238"/>
      <c r="AF5" s="238"/>
      <c r="AG5" s="238"/>
      <c r="AH5" s="239"/>
      <c r="AI5" s="238"/>
      <c r="AJ5" s="238"/>
      <c r="AK5" s="239"/>
      <c r="AL5" s="239"/>
    </row>
    <row r="6" spans="1:38" x14ac:dyDescent="0.2">
      <c r="B6" s="469" t="s">
        <v>575</v>
      </c>
      <c r="C6" s="470" t="s">
        <v>571</v>
      </c>
      <c r="D6" s="471" t="s">
        <v>576</v>
      </c>
      <c r="F6" s="215"/>
      <c r="G6" s="469" t="s">
        <v>575</v>
      </c>
      <c r="H6" s="470" t="s">
        <v>571</v>
      </c>
      <c r="I6" s="471" t="s">
        <v>576</v>
      </c>
      <c r="L6" s="469" t="s">
        <v>575</v>
      </c>
      <c r="M6" s="470" t="s">
        <v>571</v>
      </c>
      <c r="N6" s="471" t="s">
        <v>576</v>
      </c>
    </row>
    <row r="7" spans="1:38" x14ac:dyDescent="0.2">
      <c r="A7" s="464" t="s">
        <v>346</v>
      </c>
      <c r="B7" s="227">
        <v>453</v>
      </c>
      <c r="C7" s="227"/>
      <c r="D7" s="465">
        <f>B7</f>
        <v>453</v>
      </c>
      <c r="F7" s="464" t="s">
        <v>346</v>
      </c>
      <c r="G7" s="227">
        <v>456</v>
      </c>
      <c r="H7" s="227"/>
      <c r="I7" s="465">
        <f>G7</f>
        <v>456</v>
      </c>
      <c r="K7" s="464" t="s">
        <v>346</v>
      </c>
      <c r="L7" s="227">
        <v>440</v>
      </c>
      <c r="M7" s="227"/>
      <c r="N7" s="465">
        <f>L7</f>
        <v>440</v>
      </c>
    </row>
    <row r="8" spans="1:38" x14ac:dyDescent="0.2">
      <c r="A8" s="466" t="s">
        <v>496</v>
      </c>
      <c r="B8" s="238">
        <v>453</v>
      </c>
      <c r="C8" s="238"/>
      <c r="D8" s="438">
        <f>B8</f>
        <v>453</v>
      </c>
      <c r="F8" s="466" t="s">
        <v>496</v>
      </c>
      <c r="G8" s="238">
        <v>456</v>
      </c>
      <c r="H8" s="238"/>
      <c r="I8" s="438">
        <f>G8</f>
        <v>456</v>
      </c>
      <c r="K8" s="466" t="s">
        <v>496</v>
      </c>
      <c r="L8" s="238">
        <v>440</v>
      </c>
      <c r="M8" s="238"/>
      <c r="N8" s="438">
        <f>L8</f>
        <v>440</v>
      </c>
    </row>
    <row r="9" spans="1:38" ht="22.5" x14ac:dyDescent="0.2">
      <c r="A9" s="466" t="s">
        <v>497</v>
      </c>
      <c r="B9" s="238">
        <f>7.7+6.4+20.5+9.2+3.85+38.15+2.27+8.2+3+8.7+4.34+25.8+9+23+6.5+1.8+1.4</f>
        <v>179.81000000000003</v>
      </c>
      <c r="C9" s="238">
        <v>3.5</v>
      </c>
      <c r="D9" s="438">
        <f>B9*C9</f>
        <v>629.33500000000015</v>
      </c>
      <c r="F9" s="466" t="s">
        <v>497</v>
      </c>
      <c r="G9" s="238">
        <f>2.35+12.9+2.3+4.8</f>
        <v>22.35</v>
      </c>
      <c r="H9" s="238">
        <v>3</v>
      </c>
      <c r="I9" s="438">
        <f>G9*H9</f>
        <v>67.050000000000011</v>
      </c>
      <c r="K9" s="466" t="s">
        <v>497</v>
      </c>
      <c r="L9" s="238"/>
      <c r="M9" s="238">
        <v>3</v>
      </c>
      <c r="N9" s="438">
        <f>L9*M9</f>
        <v>0</v>
      </c>
    </row>
    <row r="10" spans="1:38" ht="22.5" x14ac:dyDescent="0.2">
      <c r="A10" s="466" t="s">
        <v>119</v>
      </c>
      <c r="B10" s="238">
        <f>(8.2+2)*3.5</f>
        <v>35.699999999999996</v>
      </c>
      <c r="C10" s="238">
        <v>0.2</v>
      </c>
      <c r="D10" s="438">
        <f>B10*C10</f>
        <v>7.14</v>
      </c>
      <c r="F10" s="466" t="s">
        <v>498</v>
      </c>
      <c r="G10" s="238">
        <f>(11)*1.203</f>
        <v>13.233000000000001</v>
      </c>
      <c r="H10" s="238">
        <v>0.2</v>
      </c>
      <c r="I10" s="438">
        <f>G10*H10</f>
        <v>2.6466000000000003</v>
      </c>
      <c r="K10" s="466" t="s">
        <v>498</v>
      </c>
      <c r="L10" s="238">
        <f>10.43*3</f>
        <v>31.29</v>
      </c>
      <c r="M10" s="238">
        <v>0.2</v>
      </c>
      <c r="N10" s="438">
        <f>L10*M10</f>
        <v>6.258</v>
      </c>
    </row>
    <row r="11" spans="1:38" x14ac:dyDescent="0.2">
      <c r="A11" s="466" t="s">
        <v>499</v>
      </c>
      <c r="B11" s="238">
        <f>11+8+7.5</f>
        <v>26.5</v>
      </c>
      <c r="C11" s="238">
        <v>3</v>
      </c>
      <c r="D11" s="438">
        <f>B11*C11</f>
        <v>79.5</v>
      </c>
      <c r="F11" s="466" t="s">
        <v>499</v>
      </c>
      <c r="G11" s="238">
        <f>(25+15+15)</f>
        <v>55</v>
      </c>
      <c r="H11" s="238">
        <v>3</v>
      </c>
      <c r="I11" s="438">
        <f>G11*H11</f>
        <v>165</v>
      </c>
      <c r="K11" s="466" t="s">
        <v>499</v>
      </c>
      <c r="L11" s="238">
        <v>30</v>
      </c>
      <c r="M11" s="238">
        <v>3</v>
      </c>
      <c r="N11" s="438">
        <f>L11*M11</f>
        <v>90</v>
      </c>
    </row>
    <row r="12" spans="1:38" x14ac:dyDescent="0.2">
      <c r="A12" s="466" t="s">
        <v>500</v>
      </c>
      <c r="B12" s="238">
        <v>5</v>
      </c>
      <c r="C12" s="238"/>
      <c r="D12" s="438">
        <f>B12</f>
        <v>5</v>
      </c>
      <c r="F12" s="466" t="s">
        <v>500</v>
      </c>
      <c r="G12" s="238">
        <v>11</v>
      </c>
      <c r="H12" s="238"/>
      <c r="I12" s="438">
        <f>G12</f>
        <v>11</v>
      </c>
      <c r="K12" s="466" t="s">
        <v>500</v>
      </c>
      <c r="L12" s="238">
        <v>9</v>
      </c>
      <c r="M12" s="238"/>
      <c r="N12" s="438">
        <f>L12</f>
        <v>9</v>
      </c>
    </row>
    <row r="13" spans="1:38" x14ac:dyDescent="0.2">
      <c r="A13" s="466" t="s">
        <v>572</v>
      </c>
      <c r="B13" s="238">
        <v>50</v>
      </c>
      <c r="C13" s="238"/>
      <c r="D13" s="438">
        <f>B13</f>
        <v>50</v>
      </c>
      <c r="F13" s="466" t="s">
        <v>572</v>
      </c>
      <c r="G13" s="238">
        <v>24</v>
      </c>
      <c r="H13" s="238"/>
      <c r="I13" s="438">
        <f>G13</f>
        <v>24</v>
      </c>
      <c r="K13" s="466" t="s">
        <v>572</v>
      </c>
      <c r="L13" s="238">
        <v>24</v>
      </c>
      <c r="M13" s="238"/>
      <c r="N13" s="438">
        <f>L13</f>
        <v>24</v>
      </c>
    </row>
    <row r="14" spans="1:38" ht="22.5" x14ac:dyDescent="0.2">
      <c r="A14" s="466" t="s">
        <v>573</v>
      </c>
      <c r="B14" s="238">
        <v>12</v>
      </c>
      <c r="C14" s="238"/>
      <c r="D14" s="438">
        <f>B14</f>
        <v>12</v>
      </c>
      <c r="F14" s="466" t="s">
        <v>573</v>
      </c>
      <c r="G14" s="238"/>
      <c r="H14" s="238"/>
      <c r="I14" s="438">
        <f>G14</f>
        <v>0</v>
      </c>
      <c r="K14" s="466" t="s">
        <v>573</v>
      </c>
      <c r="L14" s="238"/>
      <c r="M14" s="238"/>
      <c r="N14" s="438">
        <f>L14</f>
        <v>0</v>
      </c>
    </row>
    <row r="15" spans="1:38" ht="22.5" x14ac:dyDescent="0.2">
      <c r="A15" s="466" t="s">
        <v>574</v>
      </c>
      <c r="B15" s="238">
        <v>13</v>
      </c>
      <c r="C15" s="238"/>
      <c r="D15" s="438">
        <f>B15</f>
        <v>13</v>
      </c>
      <c r="F15" s="467" t="s">
        <v>581</v>
      </c>
      <c r="G15" s="290">
        <v>14.42</v>
      </c>
      <c r="H15" s="290">
        <v>0.2</v>
      </c>
      <c r="I15" s="468">
        <f>G15*H15</f>
        <v>2.8840000000000003</v>
      </c>
      <c r="K15" s="467"/>
      <c r="L15" s="290"/>
      <c r="M15" s="290"/>
      <c r="N15" s="468"/>
    </row>
    <row r="16" spans="1:38" ht="77.25" customHeight="1" x14ac:dyDescent="0.2">
      <c r="A16" s="466" t="s">
        <v>24</v>
      </c>
      <c r="B16" s="238">
        <f>1.5*1.5*0.1</f>
        <v>0.22500000000000001</v>
      </c>
      <c r="C16" s="238">
        <v>4</v>
      </c>
      <c r="D16" s="438">
        <f t="shared" ref="D16:D21" si="0">B16*C16</f>
        <v>0.9</v>
      </c>
      <c r="F16" s="467" t="s">
        <v>48</v>
      </c>
      <c r="G16" s="290">
        <f>16+42</f>
        <v>58</v>
      </c>
      <c r="H16" s="290">
        <v>0.1</v>
      </c>
      <c r="I16" s="468">
        <f>G16*H16</f>
        <v>5.8000000000000007</v>
      </c>
      <c r="K16" s="467" t="s">
        <v>48</v>
      </c>
      <c r="L16" s="290">
        <v>22</v>
      </c>
      <c r="M16" s="290">
        <v>0.1</v>
      </c>
      <c r="N16" s="468">
        <f>L16*M16</f>
        <v>2.2000000000000002</v>
      </c>
    </row>
    <row r="17" spans="1:38" ht="22.5" x14ac:dyDescent="0.2">
      <c r="A17" s="466" t="s">
        <v>25</v>
      </c>
      <c r="B17" s="238">
        <f>12*1</f>
        <v>12</v>
      </c>
      <c r="C17" s="238">
        <v>1.85</v>
      </c>
      <c r="D17" s="438">
        <f t="shared" si="0"/>
        <v>22.200000000000003</v>
      </c>
    </row>
    <row r="18" spans="1:38" ht="22.5" x14ac:dyDescent="0.2">
      <c r="A18" s="466" t="s">
        <v>26</v>
      </c>
      <c r="B18" s="238">
        <v>2.2000000000000002</v>
      </c>
      <c r="C18" s="238">
        <v>1</v>
      </c>
      <c r="D18" s="438">
        <f t="shared" si="0"/>
        <v>2.2000000000000002</v>
      </c>
    </row>
    <row r="19" spans="1:38" ht="22.5" x14ac:dyDescent="0.2">
      <c r="A19" s="466" t="s">
        <v>27</v>
      </c>
      <c r="B19" s="238">
        <v>13</v>
      </c>
      <c r="C19" s="238">
        <v>1</v>
      </c>
      <c r="D19" s="438">
        <f t="shared" si="0"/>
        <v>13</v>
      </c>
    </row>
    <row r="20" spans="1:38" ht="22.5" x14ac:dyDescent="0.2">
      <c r="A20" s="466" t="s">
        <v>28</v>
      </c>
      <c r="B20" s="238">
        <f>30+13+20</f>
        <v>63</v>
      </c>
      <c r="C20" s="238">
        <v>1</v>
      </c>
      <c r="D20" s="438">
        <f t="shared" si="0"/>
        <v>63</v>
      </c>
    </row>
    <row r="21" spans="1:38" ht="22.5" x14ac:dyDescent="0.2">
      <c r="A21" s="467" t="s">
        <v>29</v>
      </c>
      <c r="B21" s="290">
        <v>1</v>
      </c>
      <c r="C21" s="290">
        <v>1</v>
      </c>
      <c r="D21" s="468">
        <f t="shared" si="0"/>
        <v>1</v>
      </c>
    </row>
    <row r="23" spans="1:38" ht="12" thickBot="1" x14ac:dyDescent="0.25"/>
    <row r="24" spans="1:38" s="221" customFormat="1" ht="34.5" thickBot="1" x14ac:dyDescent="0.25">
      <c r="A24" s="217"/>
      <c r="B24" s="312" t="s">
        <v>342</v>
      </c>
      <c r="C24" s="313" t="s">
        <v>344</v>
      </c>
      <c r="D24" s="313" t="s">
        <v>345</v>
      </c>
      <c r="E24" s="220"/>
      <c r="F24" s="323" t="s">
        <v>405</v>
      </c>
      <c r="G24" s="323" t="s">
        <v>406</v>
      </c>
      <c r="H24" s="324" t="s">
        <v>346</v>
      </c>
      <c r="I24" s="325" t="s">
        <v>407</v>
      </c>
      <c r="J24" s="324" t="s">
        <v>347</v>
      </c>
      <c r="K24" s="324" t="s">
        <v>348</v>
      </c>
      <c r="L24" s="595" t="s">
        <v>1029</v>
      </c>
      <c r="M24" s="595" t="s">
        <v>1027</v>
      </c>
      <c r="O24" s="222" t="s">
        <v>430</v>
      </c>
      <c r="P24" s="223" t="s">
        <v>429</v>
      </c>
      <c r="Q24" s="223" t="s">
        <v>411</v>
      </c>
      <c r="R24" s="223" t="s">
        <v>412</v>
      </c>
      <c r="S24" s="223" t="s">
        <v>413</v>
      </c>
      <c r="T24" s="223" t="s">
        <v>415</v>
      </c>
      <c r="U24" s="223" t="s">
        <v>414</v>
      </c>
      <c r="V24" s="223" t="s">
        <v>416</v>
      </c>
      <c r="W24" s="224" t="s">
        <v>417</v>
      </c>
      <c r="X24" s="223" t="s">
        <v>418</v>
      </c>
      <c r="Y24" s="223" t="s">
        <v>419</v>
      </c>
      <c r="Z24" s="223" t="s">
        <v>420</v>
      </c>
      <c r="AA24" s="224" t="s">
        <v>421</v>
      </c>
      <c r="AB24" s="223" t="s">
        <v>422</v>
      </c>
      <c r="AC24" s="223" t="s">
        <v>428</v>
      </c>
      <c r="AD24" s="224" t="s">
        <v>423</v>
      </c>
      <c r="AE24" s="224" t="s">
        <v>424</v>
      </c>
      <c r="AF24" s="223" t="s">
        <v>425</v>
      </c>
      <c r="AG24" s="223" t="s">
        <v>426</v>
      </c>
      <c r="AH24" s="225" t="s">
        <v>427</v>
      </c>
      <c r="AI24" s="223" t="s">
        <v>457</v>
      </c>
      <c r="AJ24" s="223" t="s">
        <v>458</v>
      </c>
      <c r="AK24" s="225" t="s">
        <v>459</v>
      </c>
      <c r="AL24" s="225"/>
    </row>
    <row r="25" spans="1:38" ht="15" x14ac:dyDescent="0.25">
      <c r="A25" s="944" t="s">
        <v>408</v>
      </c>
      <c r="B25" s="945"/>
      <c r="C25" s="945"/>
      <c r="D25" s="946"/>
      <c r="E25" s="314"/>
      <c r="F25" s="235"/>
      <c r="G25" s="235"/>
      <c r="H25" s="233"/>
      <c r="I25" s="233"/>
      <c r="J25" s="233"/>
      <c r="K25" s="233"/>
      <c r="L25" s="236"/>
      <c r="M25" s="236"/>
      <c r="O25" s="237"/>
      <c r="P25" s="238"/>
      <c r="Q25" s="238"/>
      <c r="R25" s="238"/>
      <c r="S25" s="238"/>
      <c r="T25" s="238"/>
      <c r="U25" s="238"/>
      <c r="V25" s="238"/>
      <c r="W25" s="238"/>
      <c r="X25" s="238"/>
      <c r="Y25" s="238"/>
      <c r="Z25" s="238"/>
      <c r="AA25" s="238"/>
      <c r="AB25" s="238"/>
      <c r="AC25" s="238"/>
      <c r="AD25" s="238"/>
      <c r="AE25" s="238"/>
      <c r="AF25" s="238"/>
      <c r="AG25" s="238"/>
      <c r="AH25" s="239"/>
      <c r="AI25" s="238"/>
      <c r="AJ25" s="238"/>
      <c r="AK25" s="239"/>
      <c r="AL25" s="239"/>
    </row>
    <row r="26" spans="1:38" x14ac:dyDescent="0.2">
      <c r="A26" s="226">
        <v>2.6</v>
      </c>
      <c r="B26" s="593" t="s">
        <v>1022</v>
      </c>
      <c r="C26" s="278">
        <v>22.6</v>
      </c>
      <c r="D26" s="279">
        <v>16</v>
      </c>
      <c r="E26" s="454"/>
      <c r="F26" s="230"/>
      <c r="G26" s="230">
        <f>E26</f>
        <v>0</v>
      </c>
      <c r="H26" s="230"/>
      <c r="I26" s="230">
        <f>D26</f>
        <v>16</v>
      </c>
      <c r="J26" s="230"/>
      <c r="K26" s="230"/>
      <c r="L26" s="240">
        <f>2.6*C26</f>
        <v>58.760000000000005</v>
      </c>
      <c r="M26" s="240">
        <f>L26</f>
        <v>58.760000000000005</v>
      </c>
      <c r="O26" s="237"/>
      <c r="P26" s="238"/>
      <c r="Q26" s="238"/>
      <c r="R26" s="238"/>
      <c r="S26" s="238"/>
      <c r="T26" s="238"/>
      <c r="U26" s="238"/>
      <c r="V26" s="238"/>
      <c r="W26" s="238"/>
      <c r="X26" s="238"/>
      <c r="Y26" s="238"/>
      <c r="Z26" s="238"/>
      <c r="AA26" s="238"/>
      <c r="AB26" s="238"/>
      <c r="AC26" s="238"/>
      <c r="AD26" s="238"/>
      <c r="AE26" s="238"/>
      <c r="AF26" s="238"/>
      <c r="AG26" s="238"/>
      <c r="AH26" s="239"/>
      <c r="AI26" s="238"/>
      <c r="AJ26" s="238"/>
      <c r="AK26" s="239"/>
      <c r="AL26" s="239"/>
    </row>
    <row r="27" spans="1:38" x14ac:dyDescent="0.2">
      <c r="A27" s="226"/>
      <c r="B27" s="241" t="s">
        <v>361</v>
      </c>
      <c r="C27" s="242">
        <v>138</v>
      </c>
      <c r="D27" s="243">
        <v>460</v>
      </c>
      <c r="E27" s="314"/>
      <c r="F27" s="244"/>
      <c r="G27" s="244">
        <v>0</v>
      </c>
      <c r="H27" s="244"/>
      <c r="I27" s="244">
        <f>D27</f>
        <v>460</v>
      </c>
      <c r="J27" s="244"/>
      <c r="K27" s="244"/>
      <c r="L27" s="245">
        <f>2.6*C27</f>
        <v>358.8</v>
      </c>
      <c r="M27" s="245">
        <f>L27</f>
        <v>358.8</v>
      </c>
      <c r="O27" s="237"/>
      <c r="P27" s="238"/>
      <c r="Q27" s="238"/>
      <c r="R27" s="238"/>
      <c r="S27" s="238"/>
      <c r="T27" s="238"/>
      <c r="U27" s="238"/>
      <c r="V27" s="238"/>
      <c r="W27" s="238"/>
      <c r="X27" s="238"/>
      <c r="Y27" s="238"/>
      <c r="Z27" s="238"/>
      <c r="AA27" s="238"/>
      <c r="AB27" s="238"/>
      <c r="AC27" s="238"/>
      <c r="AD27" s="238"/>
      <c r="AE27" s="238"/>
      <c r="AF27" s="238"/>
      <c r="AG27" s="238"/>
      <c r="AH27" s="239"/>
      <c r="AI27" s="238"/>
      <c r="AJ27" s="238"/>
      <c r="AK27" s="239"/>
      <c r="AL27" s="239"/>
    </row>
    <row r="28" spans="1:38" x14ac:dyDescent="0.2">
      <c r="A28" s="226"/>
      <c r="B28" s="241" t="s">
        <v>362</v>
      </c>
      <c r="C28" s="242">
        <v>25.7</v>
      </c>
      <c r="D28" s="243">
        <v>35</v>
      </c>
      <c r="E28" s="314"/>
      <c r="F28" s="244"/>
      <c r="G28" s="244">
        <f>E28</f>
        <v>0</v>
      </c>
      <c r="H28" s="244"/>
      <c r="I28" s="244">
        <f>D28</f>
        <v>35</v>
      </c>
      <c r="J28" s="244"/>
      <c r="K28" s="244"/>
      <c r="L28" s="245">
        <f>2.6*C28</f>
        <v>66.820000000000007</v>
      </c>
      <c r="M28" s="245">
        <f>L28</f>
        <v>66.820000000000007</v>
      </c>
      <c r="O28" s="237"/>
      <c r="P28" s="238"/>
      <c r="Q28" s="238"/>
      <c r="R28" s="238"/>
      <c r="S28" s="238"/>
      <c r="T28" s="238"/>
      <c r="U28" s="238"/>
      <c r="V28" s="238"/>
      <c r="W28" s="238"/>
      <c r="X28" s="238"/>
      <c r="Y28" s="238"/>
      <c r="Z28" s="238"/>
      <c r="AA28" s="238"/>
      <c r="AB28" s="238"/>
      <c r="AC28" s="238"/>
      <c r="AD28" s="238"/>
      <c r="AE28" s="238"/>
      <c r="AF28" s="238"/>
      <c r="AG28" s="238"/>
      <c r="AH28" s="239"/>
      <c r="AI28" s="238"/>
      <c r="AJ28" s="238"/>
      <c r="AK28" s="239"/>
      <c r="AL28" s="239"/>
    </row>
    <row r="29" spans="1:38" x14ac:dyDescent="0.2">
      <c r="A29" s="226"/>
      <c r="B29" s="241" t="s">
        <v>363</v>
      </c>
      <c r="C29" s="242">
        <v>25</v>
      </c>
      <c r="D29" s="243">
        <v>32</v>
      </c>
      <c r="E29" s="314"/>
      <c r="F29" s="244"/>
      <c r="G29" s="244">
        <f>E29</f>
        <v>0</v>
      </c>
      <c r="H29" s="244"/>
      <c r="I29" s="244">
        <f>D29</f>
        <v>32</v>
      </c>
      <c r="J29" s="244"/>
      <c r="K29" s="244"/>
      <c r="L29" s="245">
        <f>2.6*C29</f>
        <v>65</v>
      </c>
      <c r="M29" s="245">
        <f>L29</f>
        <v>65</v>
      </c>
      <c r="O29" s="237"/>
      <c r="P29" s="238"/>
      <c r="Q29" s="238"/>
      <c r="R29" s="238"/>
      <c r="S29" s="238"/>
      <c r="T29" s="238"/>
      <c r="U29" s="238"/>
      <c r="V29" s="238"/>
      <c r="W29" s="238"/>
      <c r="X29" s="238"/>
      <c r="Y29" s="238"/>
      <c r="Z29" s="238"/>
      <c r="AA29" s="238"/>
      <c r="AB29" s="238"/>
      <c r="AC29" s="238"/>
      <c r="AD29" s="238"/>
      <c r="AE29" s="238"/>
      <c r="AF29" s="238"/>
      <c r="AG29" s="238"/>
      <c r="AH29" s="239"/>
      <c r="AI29" s="238"/>
      <c r="AJ29" s="238"/>
      <c r="AK29" s="239"/>
      <c r="AL29" s="239"/>
    </row>
    <row r="30" spans="1:38" x14ac:dyDescent="0.2">
      <c r="A30" s="226"/>
      <c r="B30" s="246" t="s">
        <v>383</v>
      </c>
      <c r="C30" s="247">
        <v>18</v>
      </c>
      <c r="D30" s="248">
        <v>11</v>
      </c>
      <c r="E30" s="338"/>
      <c r="F30" s="249"/>
      <c r="G30" s="249"/>
      <c r="H30" s="249"/>
      <c r="I30" s="249">
        <f>D30</f>
        <v>11</v>
      </c>
      <c r="J30" s="249"/>
      <c r="K30" s="249"/>
      <c r="L30" s="250">
        <f>2.6*C30</f>
        <v>46.800000000000004</v>
      </c>
      <c r="M30" s="250">
        <f>L30</f>
        <v>46.800000000000004</v>
      </c>
      <c r="O30" s="237"/>
      <c r="P30" s="238"/>
      <c r="Q30" s="238"/>
      <c r="R30" s="238"/>
      <c r="S30" s="238"/>
      <c r="T30" s="238"/>
      <c r="U30" s="238"/>
      <c r="V30" s="238"/>
      <c r="W30" s="238"/>
      <c r="X30" s="238"/>
      <c r="Y30" s="238"/>
      <c r="Z30" s="238"/>
      <c r="AA30" s="238"/>
      <c r="AB30" s="238"/>
      <c r="AC30" s="238"/>
      <c r="AD30" s="238"/>
      <c r="AE30" s="238"/>
      <c r="AF30" s="238"/>
      <c r="AG30" s="238"/>
      <c r="AH30" s="239"/>
      <c r="AI30" s="238"/>
      <c r="AJ30" s="238"/>
      <c r="AK30" s="239"/>
      <c r="AL30" s="239"/>
    </row>
    <row r="31" spans="1:38" ht="12" thickBot="1" x14ac:dyDescent="0.25">
      <c r="A31" s="251"/>
      <c r="B31" s="252"/>
      <c r="C31" s="253"/>
      <c r="D31" s="254"/>
      <c r="E31" s="455"/>
      <c r="F31" s="255">
        <f>SUM(F26:F30)</f>
        <v>0</v>
      </c>
      <c r="G31" s="255">
        <f t="shared" ref="G31:L31" si="1">SUM(G26:G30)</f>
        <v>0</v>
      </c>
      <c r="H31" s="255">
        <f t="shared" si="1"/>
        <v>0</v>
      </c>
      <c r="I31" s="256">
        <f t="shared" si="1"/>
        <v>554</v>
      </c>
      <c r="J31" s="255">
        <f t="shared" si="1"/>
        <v>0</v>
      </c>
      <c r="K31" s="255">
        <f t="shared" si="1"/>
        <v>0</v>
      </c>
      <c r="L31" s="256">
        <f t="shared" si="1"/>
        <v>596.17999999999995</v>
      </c>
      <c r="M31" s="256">
        <f>SUM(M26:M30)</f>
        <v>596.17999999999995</v>
      </c>
      <c r="O31" s="237"/>
      <c r="P31" s="238"/>
      <c r="Q31" s="238"/>
      <c r="R31" s="238"/>
      <c r="S31" s="238"/>
      <c r="T31" s="238"/>
      <c r="U31" s="238"/>
      <c r="V31" s="238"/>
      <c r="W31" s="238"/>
      <c r="X31" s="238"/>
      <c r="Y31" s="238"/>
      <c r="Z31" s="238"/>
      <c r="AA31" s="238"/>
      <c r="AB31" s="238"/>
      <c r="AC31" s="238"/>
      <c r="AD31" s="238"/>
      <c r="AE31" s="238"/>
      <c r="AF31" s="238"/>
      <c r="AG31" s="238"/>
      <c r="AH31" s="239"/>
      <c r="AI31" s="238"/>
      <c r="AJ31" s="238"/>
      <c r="AK31" s="239"/>
      <c r="AL31" s="239"/>
    </row>
    <row r="32" spans="1:38" ht="12" thickBot="1" x14ac:dyDescent="0.25">
      <c r="O32" s="237"/>
      <c r="P32" s="238"/>
      <c r="Q32" s="238"/>
      <c r="R32" s="238"/>
      <c r="S32" s="238"/>
      <c r="T32" s="238"/>
      <c r="U32" s="238"/>
      <c r="V32" s="238"/>
      <c r="W32" s="238"/>
      <c r="X32" s="238"/>
      <c r="Y32" s="238"/>
      <c r="Z32" s="238"/>
      <c r="AA32" s="238"/>
      <c r="AB32" s="238"/>
      <c r="AC32" s="238"/>
      <c r="AD32" s="238"/>
      <c r="AE32" s="238"/>
      <c r="AF32" s="238"/>
      <c r="AG32" s="238"/>
      <c r="AH32" s="239"/>
      <c r="AI32" s="238"/>
      <c r="AJ32" s="238"/>
      <c r="AK32" s="239"/>
      <c r="AL32" s="239"/>
    </row>
    <row r="33" spans="1:38" s="221" customFormat="1" ht="34.5" thickBot="1" x14ac:dyDescent="0.25">
      <c r="A33" s="217"/>
      <c r="B33" s="218" t="s">
        <v>342</v>
      </c>
      <c r="C33" s="219" t="s">
        <v>344</v>
      </c>
      <c r="D33" s="219" t="s">
        <v>345</v>
      </c>
      <c r="E33" s="220"/>
      <c r="F33" s="323" t="s">
        <v>405</v>
      </c>
      <c r="G33" s="323" t="s">
        <v>406</v>
      </c>
      <c r="H33" s="324" t="s">
        <v>346</v>
      </c>
      <c r="I33" s="325" t="s">
        <v>407</v>
      </c>
      <c r="J33" s="324" t="s">
        <v>347</v>
      </c>
      <c r="K33" s="596" t="s">
        <v>1026</v>
      </c>
      <c r="L33" s="595" t="s">
        <v>1025</v>
      </c>
      <c r="M33" s="595" t="s">
        <v>1027</v>
      </c>
      <c r="O33" s="598" t="s">
        <v>1031</v>
      </c>
      <c r="P33" s="597" t="s">
        <v>1030</v>
      </c>
      <c r="Q33" s="597" t="s">
        <v>1032</v>
      </c>
      <c r="R33" s="597" t="s">
        <v>1033</v>
      </c>
      <c r="S33" s="223" t="s">
        <v>413</v>
      </c>
      <c r="T33" s="223" t="s">
        <v>415</v>
      </c>
      <c r="U33" s="223" t="s">
        <v>414</v>
      </c>
      <c r="V33" s="223" t="s">
        <v>416</v>
      </c>
      <c r="W33" s="224" t="s">
        <v>417</v>
      </c>
      <c r="X33" s="223" t="s">
        <v>418</v>
      </c>
      <c r="Y33" s="223" t="s">
        <v>419</v>
      </c>
      <c r="Z33" s="223" t="s">
        <v>420</v>
      </c>
      <c r="AA33" s="224" t="s">
        <v>421</v>
      </c>
      <c r="AB33" s="223" t="s">
        <v>422</v>
      </c>
      <c r="AC33" s="223" t="s">
        <v>428</v>
      </c>
      <c r="AD33" s="224" t="s">
        <v>423</v>
      </c>
      <c r="AE33" s="224" t="s">
        <v>424</v>
      </c>
      <c r="AF33" s="223" t="s">
        <v>425</v>
      </c>
      <c r="AG33" s="223" t="s">
        <v>426</v>
      </c>
      <c r="AH33" s="225" t="s">
        <v>427</v>
      </c>
      <c r="AI33" s="223" t="s">
        <v>457</v>
      </c>
      <c r="AJ33" s="223" t="s">
        <v>458</v>
      </c>
      <c r="AK33" s="225" t="s">
        <v>459</v>
      </c>
      <c r="AL33" s="225" t="s">
        <v>517</v>
      </c>
    </row>
    <row r="34" spans="1:38" ht="15" x14ac:dyDescent="0.25">
      <c r="A34" s="944" t="s">
        <v>409</v>
      </c>
      <c r="B34" s="945"/>
      <c r="C34" s="945"/>
      <c r="D34" s="946"/>
      <c r="E34" s="220"/>
      <c r="F34" s="258"/>
      <c r="G34" s="258"/>
      <c r="H34" s="257"/>
      <c r="I34" s="257"/>
      <c r="J34" s="257"/>
      <c r="K34" s="259"/>
      <c r="L34" s="260"/>
      <c r="M34" s="260"/>
      <c r="O34" s="237"/>
      <c r="P34" s="238"/>
      <c r="Q34" s="238"/>
      <c r="R34" s="238"/>
      <c r="S34" s="238"/>
      <c r="T34" s="238"/>
      <c r="U34" s="238"/>
      <c r="V34" s="238"/>
      <c r="W34" s="238"/>
      <c r="X34" s="238"/>
      <c r="Y34" s="238"/>
      <c r="Z34" s="238"/>
      <c r="AA34" s="238"/>
      <c r="AB34" s="238"/>
      <c r="AC34" s="238"/>
      <c r="AD34" s="238"/>
      <c r="AE34" s="238"/>
      <c r="AF34" s="238"/>
      <c r="AG34" s="238"/>
      <c r="AH34" s="239"/>
      <c r="AI34" s="238"/>
      <c r="AJ34" s="238"/>
      <c r="AK34" s="239"/>
      <c r="AL34" s="239"/>
    </row>
    <row r="35" spans="1:38" x14ac:dyDescent="0.2">
      <c r="A35" s="261">
        <v>3.6</v>
      </c>
      <c r="B35" s="241" t="s">
        <v>382</v>
      </c>
      <c r="C35" s="242">
        <v>18</v>
      </c>
      <c r="D35" s="243">
        <v>11</v>
      </c>
      <c r="E35" s="314"/>
      <c r="F35" s="244">
        <f>D35</f>
        <v>11</v>
      </c>
      <c r="G35" s="244"/>
      <c r="H35" s="242">
        <f>D35</f>
        <v>11</v>
      </c>
      <c r="I35" s="242"/>
      <c r="J35" s="242">
        <f>C35</f>
        <v>18</v>
      </c>
      <c r="K35" s="238"/>
      <c r="L35" s="239">
        <f>C35*3.5</f>
        <v>63</v>
      </c>
      <c r="M35" s="400">
        <f>L35+I35</f>
        <v>63</v>
      </c>
      <c r="O35" s="237"/>
      <c r="P35" s="238"/>
      <c r="Q35" s="238"/>
      <c r="R35" s="238"/>
      <c r="S35" s="238"/>
      <c r="T35" s="238"/>
      <c r="U35" s="238"/>
      <c r="V35" s="238"/>
      <c r="W35" s="238"/>
      <c r="X35" s="238"/>
      <c r="Y35" s="238"/>
      <c r="Z35" s="238"/>
      <c r="AA35" s="238"/>
      <c r="AB35" s="238"/>
      <c r="AC35" s="238"/>
      <c r="AD35" s="238"/>
      <c r="AE35" s="238"/>
      <c r="AF35" s="238"/>
      <c r="AG35" s="238"/>
      <c r="AH35" s="239"/>
      <c r="AI35" s="238"/>
      <c r="AJ35" s="238"/>
      <c r="AK35" s="239"/>
      <c r="AL35" s="239"/>
    </row>
    <row r="36" spans="1:38" x14ac:dyDescent="0.2">
      <c r="A36" s="226"/>
      <c r="B36" s="241" t="s">
        <v>364</v>
      </c>
      <c r="C36" s="242">
        <v>24.8</v>
      </c>
      <c r="D36" s="243">
        <v>37.9</v>
      </c>
      <c r="E36" s="314"/>
      <c r="F36" s="244">
        <f t="shared" ref="F36:F57" si="2">D36</f>
        <v>37.9</v>
      </c>
      <c r="G36" s="244"/>
      <c r="H36" s="242">
        <f t="shared" ref="H36:H57" si="3">D36</f>
        <v>37.9</v>
      </c>
      <c r="I36" s="242"/>
      <c r="J36" s="242">
        <f t="shared" ref="J36:J57" si="4">C36</f>
        <v>24.8</v>
      </c>
      <c r="K36" s="238"/>
      <c r="L36" s="239">
        <f>C36*3.5</f>
        <v>86.8</v>
      </c>
      <c r="M36" s="400">
        <f>L36+I36</f>
        <v>86.8</v>
      </c>
      <c r="O36" s="237"/>
      <c r="P36" s="238"/>
      <c r="Q36" s="238"/>
      <c r="R36" s="238"/>
      <c r="S36" s="238"/>
      <c r="T36" s="238"/>
      <c r="U36" s="238"/>
      <c r="V36" s="238"/>
      <c r="W36" s="238"/>
      <c r="X36" s="238"/>
      <c r="Y36" s="238"/>
      <c r="Z36" s="238"/>
      <c r="AA36" s="238"/>
      <c r="AB36" s="238"/>
      <c r="AC36" s="238"/>
      <c r="AD36" s="238"/>
      <c r="AE36" s="238"/>
      <c r="AF36" s="238"/>
      <c r="AG36" s="238"/>
      <c r="AH36" s="239"/>
      <c r="AI36" s="238"/>
      <c r="AJ36" s="238"/>
      <c r="AK36" s="239"/>
      <c r="AL36" s="239"/>
    </row>
    <row r="37" spans="1:38" x14ac:dyDescent="0.2">
      <c r="A37" s="226"/>
      <c r="B37" s="241" t="s">
        <v>365</v>
      </c>
      <c r="C37" s="242">
        <v>25.8</v>
      </c>
      <c r="D37" s="243">
        <v>37.700000000000003</v>
      </c>
      <c r="E37" s="314"/>
      <c r="F37" s="244">
        <f t="shared" si="2"/>
        <v>37.700000000000003</v>
      </c>
      <c r="G37" s="244"/>
      <c r="H37" s="242">
        <f t="shared" si="3"/>
        <v>37.700000000000003</v>
      </c>
      <c r="I37" s="242"/>
      <c r="J37" s="242">
        <f t="shared" si="4"/>
        <v>25.8</v>
      </c>
      <c r="K37" s="238"/>
      <c r="L37" s="239">
        <f>C37*3.5</f>
        <v>90.3</v>
      </c>
      <c r="M37" s="400">
        <f>L37+I37</f>
        <v>90.3</v>
      </c>
      <c r="O37" s="237"/>
      <c r="P37" s="238"/>
      <c r="Q37" s="238"/>
      <c r="R37" s="238"/>
      <c r="S37" s="238"/>
      <c r="T37" s="238"/>
      <c r="U37" s="238"/>
      <c r="V37" s="238"/>
      <c r="W37" s="238"/>
      <c r="X37" s="238"/>
      <c r="Y37" s="238"/>
      <c r="Z37" s="238"/>
      <c r="AA37" s="238"/>
      <c r="AB37" s="238"/>
      <c r="AC37" s="238"/>
      <c r="AD37" s="238"/>
      <c r="AE37" s="238"/>
      <c r="AF37" s="238"/>
      <c r="AG37" s="238"/>
      <c r="AH37" s="239"/>
      <c r="AI37" s="238"/>
      <c r="AJ37" s="238"/>
      <c r="AK37" s="239"/>
      <c r="AL37" s="239"/>
    </row>
    <row r="38" spans="1:38" x14ac:dyDescent="0.2">
      <c r="A38" s="226"/>
      <c r="B38" s="241" t="s">
        <v>366</v>
      </c>
      <c r="C38" s="242">
        <v>28</v>
      </c>
      <c r="D38" s="243">
        <v>33.4</v>
      </c>
      <c r="E38" s="314"/>
      <c r="F38" s="244">
        <f t="shared" si="2"/>
        <v>33.4</v>
      </c>
      <c r="G38" s="244"/>
      <c r="H38" s="242">
        <f t="shared" si="3"/>
        <v>33.4</v>
      </c>
      <c r="I38" s="242"/>
      <c r="J38" s="242">
        <f t="shared" si="4"/>
        <v>28</v>
      </c>
      <c r="K38" s="238"/>
      <c r="L38" s="239">
        <f>C38*3.5</f>
        <v>98</v>
      </c>
      <c r="M38" s="400">
        <f>L38+I38</f>
        <v>98</v>
      </c>
      <c r="O38" s="237"/>
      <c r="P38" s="238"/>
      <c r="Q38" s="238"/>
      <c r="R38" s="238"/>
      <c r="S38" s="238"/>
      <c r="T38" s="238"/>
      <c r="U38" s="238"/>
      <c r="V38" s="238"/>
      <c r="W38" s="238"/>
      <c r="X38" s="238"/>
      <c r="Y38" s="238"/>
      <c r="Z38" s="238"/>
      <c r="AA38" s="238"/>
      <c r="AB38" s="238"/>
      <c r="AC38" s="238"/>
      <c r="AD38" s="238"/>
      <c r="AE38" s="238"/>
      <c r="AF38" s="238"/>
      <c r="AG38" s="238"/>
      <c r="AH38" s="239"/>
      <c r="AI38" s="238"/>
      <c r="AJ38" s="238"/>
      <c r="AK38" s="239"/>
      <c r="AL38" s="239"/>
    </row>
    <row r="39" spans="1:38" x14ac:dyDescent="0.2">
      <c r="A39" s="262"/>
      <c r="B39" s="263" t="s">
        <v>368</v>
      </c>
      <c r="C39" s="264">
        <v>10.7</v>
      </c>
      <c r="D39" s="265">
        <v>6.9</v>
      </c>
      <c r="E39" s="456"/>
      <c r="F39" s="266">
        <f t="shared" si="2"/>
        <v>6.9</v>
      </c>
      <c r="G39" s="266"/>
      <c r="H39" s="264">
        <f t="shared" si="3"/>
        <v>6.9</v>
      </c>
      <c r="I39" s="264"/>
      <c r="J39" s="264"/>
      <c r="K39" s="267">
        <f>(C39*2.2)</f>
        <v>23.54</v>
      </c>
      <c r="L39" s="268"/>
      <c r="M39" s="268">
        <f>L39+I39</f>
        <v>0</v>
      </c>
      <c r="N39" s="269"/>
      <c r="O39" s="270">
        <v>1</v>
      </c>
      <c r="P39" s="267"/>
      <c r="Q39" s="267">
        <v>0</v>
      </c>
      <c r="R39" s="267">
        <v>1</v>
      </c>
      <c r="S39" s="267"/>
      <c r="T39" s="267"/>
      <c r="U39" s="267"/>
      <c r="V39" s="267"/>
      <c r="W39" s="267"/>
      <c r="X39" s="267">
        <v>1</v>
      </c>
      <c r="Y39" s="267"/>
      <c r="Z39" s="267"/>
      <c r="AA39" s="267">
        <v>1</v>
      </c>
      <c r="AB39" s="267"/>
      <c r="AC39" s="267"/>
      <c r="AD39" s="267"/>
      <c r="AE39" s="267">
        <v>1</v>
      </c>
      <c r="AF39" s="267"/>
      <c r="AG39" s="267"/>
      <c r="AH39" s="268">
        <v>1</v>
      </c>
      <c r="AI39" s="267"/>
      <c r="AJ39" s="267">
        <v>1</v>
      </c>
      <c r="AK39" s="268"/>
      <c r="AL39" s="268"/>
    </row>
    <row r="40" spans="1:38" x14ac:dyDescent="0.2">
      <c r="A40" s="262"/>
      <c r="B40" s="263" t="s">
        <v>367</v>
      </c>
      <c r="C40" s="264">
        <v>5.7</v>
      </c>
      <c r="D40" s="265">
        <v>1.95</v>
      </c>
      <c r="E40" s="456"/>
      <c r="F40" s="266">
        <f t="shared" si="2"/>
        <v>1.95</v>
      </c>
      <c r="G40" s="266"/>
      <c r="H40" s="264">
        <f t="shared" si="3"/>
        <v>1.95</v>
      </c>
      <c r="I40" s="264"/>
      <c r="J40" s="264"/>
      <c r="K40" s="267">
        <f>(C40*2.2)</f>
        <v>12.540000000000001</v>
      </c>
      <c r="L40" s="268"/>
      <c r="M40" s="268"/>
      <c r="N40" s="269"/>
      <c r="O40" s="270">
        <v>2</v>
      </c>
      <c r="P40" s="267"/>
      <c r="Q40" s="267">
        <v>1</v>
      </c>
      <c r="R40" s="267">
        <v>1</v>
      </c>
      <c r="S40" s="267">
        <v>1</v>
      </c>
      <c r="T40" s="267">
        <v>1</v>
      </c>
      <c r="U40" s="267"/>
      <c r="V40" s="267"/>
      <c r="W40" s="267"/>
      <c r="X40" s="267"/>
      <c r="Y40" s="267">
        <v>1</v>
      </c>
      <c r="Z40" s="267"/>
      <c r="AA40" s="267">
        <v>1</v>
      </c>
      <c r="AB40" s="267"/>
      <c r="AC40" s="267"/>
      <c r="AD40" s="267">
        <v>1</v>
      </c>
      <c r="AE40" s="267">
        <v>1</v>
      </c>
      <c r="AF40" s="267">
        <v>1</v>
      </c>
      <c r="AG40" s="267">
        <v>1</v>
      </c>
      <c r="AH40" s="268">
        <v>1</v>
      </c>
      <c r="AI40" s="267"/>
      <c r="AJ40" s="267">
        <v>1</v>
      </c>
      <c r="AK40" s="268"/>
      <c r="AL40" s="268">
        <v>1</v>
      </c>
    </row>
    <row r="41" spans="1:38" x14ac:dyDescent="0.2">
      <c r="A41" s="262"/>
      <c r="B41" s="263" t="s">
        <v>367</v>
      </c>
      <c r="C41" s="264">
        <v>5.7</v>
      </c>
      <c r="D41" s="265">
        <v>1.95</v>
      </c>
      <c r="E41" s="456"/>
      <c r="F41" s="266">
        <f t="shared" si="2"/>
        <v>1.95</v>
      </c>
      <c r="G41" s="266"/>
      <c r="H41" s="264">
        <f t="shared" si="3"/>
        <v>1.95</v>
      </c>
      <c r="I41" s="264"/>
      <c r="J41" s="264"/>
      <c r="K41" s="267">
        <f>(C41*2.2)</f>
        <v>12.540000000000001</v>
      </c>
      <c r="L41" s="268"/>
      <c r="M41" s="268"/>
      <c r="N41" s="269"/>
      <c r="O41" s="270">
        <v>2</v>
      </c>
      <c r="P41" s="267"/>
      <c r="Q41" s="267">
        <v>1</v>
      </c>
      <c r="R41" s="267">
        <v>1</v>
      </c>
      <c r="S41" s="267">
        <v>1</v>
      </c>
      <c r="T41" s="267">
        <v>1</v>
      </c>
      <c r="U41" s="267"/>
      <c r="V41" s="267"/>
      <c r="W41" s="267"/>
      <c r="X41" s="267"/>
      <c r="Y41" s="267">
        <v>1</v>
      </c>
      <c r="Z41" s="267"/>
      <c r="AA41" s="267">
        <v>1</v>
      </c>
      <c r="AB41" s="267"/>
      <c r="AC41" s="267"/>
      <c r="AD41" s="267">
        <v>1</v>
      </c>
      <c r="AE41" s="267">
        <v>1</v>
      </c>
      <c r="AF41" s="267">
        <v>1</v>
      </c>
      <c r="AG41" s="267">
        <v>1</v>
      </c>
      <c r="AH41" s="268">
        <v>1</v>
      </c>
      <c r="AI41" s="267"/>
      <c r="AJ41" s="267">
        <v>1</v>
      </c>
      <c r="AK41" s="268"/>
      <c r="AL41" s="268">
        <v>1</v>
      </c>
    </row>
    <row r="42" spans="1:38" x14ac:dyDescent="0.2">
      <c r="A42" s="226"/>
      <c r="B42" s="241" t="s">
        <v>369</v>
      </c>
      <c r="C42" s="242">
        <v>29</v>
      </c>
      <c r="D42" s="243">
        <v>47.4</v>
      </c>
      <c r="E42" s="314"/>
      <c r="F42" s="244">
        <f t="shared" si="2"/>
        <v>47.4</v>
      </c>
      <c r="G42" s="244"/>
      <c r="H42" s="242">
        <f t="shared" si="3"/>
        <v>47.4</v>
      </c>
      <c r="I42" s="242"/>
      <c r="J42" s="242">
        <f t="shared" si="4"/>
        <v>29</v>
      </c>
      <c r="K42" s="238"/>
      <c r="L42" s="239">
        <f>C42*3.5</f>
        <v>101.5</v>
      </c>
      <c r="M42" s="400">
        <f>L42+I42</f>
        <v>101.5</v>
      </c>
      <c r="O42" s="237"/>
      <c r="P42" s="238"/>
      <c r="Q42" s="238"/>
      <c r="R42" s="238"/>
      <c r="S42" s="238"/>
      <c r="T42" s="238"/>
      <c r="U42" s="238"/>
      <c r="V42" s="238"/>
      <c r="W42" s="238"/>
      <c r="X42" s="238"/>
      <c r="Y42" s="238"/>
      <c r="Z42" s="238"/>
      <c r="AA42" s="238"/>
      <c r="AB42" s="238"/>
      <c r="AC42" s="238"/>
      <c r="AD42" s="238"/>
      <c r="AE42" s="238"/>
      <c r="AF42" s="238"/>
      <c r="AG42" s="238"/>
      <c r="AH42" s="239"/>
      <c r="AI42" s="238"/>
      <c r="AJ42" s="238"/>
      <c r="AK42" s="239"/>
      <c r="AL42" s="239"/>
    </row>
    <row r="43" spans="1:38" x14ac:dyDescent="0.2">
      <c r="A43" s="226"/>
      <c r="B43" s="241" t="s">
        <v>370</v>
      </c>
      <c r="C43" s="242">
        <v>17.3</v>
      </c>
      <c r="D43" s="243">
        <v>18.3</v>
      </c>
      <c r="E43" s="314"/>
      <c r="F43" s="244">
        <f t="shared" si="2"/>
        <v>18.3</v>
      </c>
      <c r="G43" s="244"/>
      <c r="H43" s="242">
        <f t="shared" si="3"/>
        <v>18.3</v>
      </c>
      <c r="I43" s="242"/>
      <c r="J43" s="242">
        <f t="shared" si="4"/>
        <v>17.3</v>
      </c>
      <c r="K43" s="238"/>
      <c r="L43" s="239">
        <f>C43*3.5</f>
        <v>60.550000000000004</v>
      </c>
      <c r="M43" s="400">
        <f>L43+I43</f>
        <v>60.550000000000004</v>
      </c>
      <c r="O43" s="237"/>
      <c r="P43" s="238"/>
      <c r="Q43" s="238"/>
      <c r="R43" s="238"/>
      <c r="S43" s="238"/>
      <c r="T43" s="238"/>
      <c r="U43" s="238"/>
      <c r="V43" s="238"/>
      <c r="W43" s="238"/>
      <c r="X43" s="238"/>
      <c r="Y43" s="238"/>
      <c r="Z43" s="238"/>
      <c r="AA43" s="238"/>
      <c r="AB43" s="238"/>
      <c r="AC43" s="238"/>
      <c r="AD43" s="238"/>
      <c r="AE43" s="238"/>
      <c r="AF43" s="238"/>
      <c r="AG43" s="238"/>
      <c r="AH43" s="239"/>
      <c r="AI43" s="238"/>
      <c r="AJ43" s="238"/>
      <c r="AK43" s="239"/>
      <c r="AL43" s="239"/>
    </row>
    <row r="44" spans="1:38" x14ac:dyDescent="0.2">
      <c r="A44" s="226"/>
      <c r="B44" s="241" t="s">
        <v>371</v>
      </c>
      <c r="C44" s="242">
        <v>9.6</v>
      </c>
      <c r="D44" s="243">
        <v>5.6</v>
      </c>
      <c r="E44" s="314"/>
      <c r="F44" s="244">
        <f t="shared" si="2"/>
        <v>5.6</v>
      </c>
      <c r="G44" s="244"/>
      <c r="H44" s="242">
        <f t="shared" si="3"/>
        <v>5.6</v>
      </c>
      <c r="I44" s="242"/>
      <c r="J44" s="242">
        <f t="shared" si="4"/>
        <v>9.6</v>
      </c>
      <c r="K44" s="238"/>
      <c r="L44" s="239">
        <f>C44*3.5</f>
        <v>33.6</v>
      </c>
      <c r="M44" s="400">
        <f>L44+I44</f>
        <v>33.6</v>
      </c>
      <c r="O44" s="237"/>
      <c r="P44" s="238"/>
      <c r="Q44" s="238"/>
      <c r="R44" s="238"/>
      <c r="S44" s="238"/>
      <c r="T44" s="238"/>
      <c r="U44" s="238"/>
      <c r="V44" s="238"/>
      <c r="W44" s="238"/>
      <c r="X44" s="238"/>
      <c r="Y44" s="238"/>
      <c r="Z44" s="238"/>
      <c r="AA44" s="238"/>
      <c r="AB44" s="238"/>
      <c r="AC44" s="238"/>
      <c r="AD44" s="238"/>
      <c r="AE44" s="238"/>
      <c r="AF44" s="238"/>
      <c r="AG44" s="238"/>
      <c r="AH44" s="239"/>
      <c r="AI44" s="238"/>
      <c r="AJ44" s="238"/>
      <c r="AK44" s="239"/>
      <c r="AL44" s="239"/>
    </row>
    <row r="45" spans="1:38" x14ac:dyDescent="0.2">
      <c r="A45" s="262"/>
      <c r="B45" s="594" t="s">
        <v>1023</v>
      </c>
      <c r="C45" s="264">
        <v>7.3</v>
      </c>
      <c r="D45" s="265">
        <v>3.2</v>
      </c>
      <c r="E45" s="456"/>
      <c r="F45" s="266">
        <f t="shared" si="2"/>
        <v>3.2</v>
      </c>
      <c r="G45" s="266"/>
      <c r="H45" s="264">
        <f t="shared" si="3"/>
        <v>3.2</v>
      </c>
      <c r="I45" s="264"/>
      <c r="J45" s="264"/>
      <c r="K45" s="267">
        <f t="shared" ref="K45:K50" si="5">(C45*2.2)</f>
        <v>16.060000000000002</v>
      </c>
      <c r="L45" s="268"/>
      <c r="M45" s="268"/>
      <c r="N45" s="269"/>
      <c r="O45" s="270">
        <v>2</v>
      </c>
      <c r="P45" s="267">
        <v>0</v>
      </c>
      <c r="Q45" s="267">
        <v>1</v>
      </c>
      <c r="R45" s="267">
        <v>1</v>
      </c>
      <c r="S45" s="267">
        <v>1</v>
      </c>
      <c r="T45" s="267">
        <v>1</v>
      </c>
      <c r="U45" s="267">
        <v>0</v>
      </c>
      <c r="V45" s="267">
        <v>0</v>
      </c>
      <c r="W45" s="267"/>
      <c r="X45" s="267"/>
      <c r="Y45" s="267">
        <v>1</v>
      </c>
      <c r="Z45" s="267"/>
      <c r="AA45" s="267">
        <v>1</v>
      </c>
      <c r="AB45" s="267">
        <v>0</v>
      </c>
      <c r="AC45" s="267">
        <v>0</v>
      </c>
      <c r="AD45" s="267">
        <v>1</v>
      </c>
      <c r="AE45" s="267">
        <v>1</v>
      </c>
      <c r="AF45" s="267">
        <v>1</v>
      </c>
      <c r="AG45" s="267">
        <v>1</v>
      </c>
      <c r="AH45" s="268">
        <v>1</v>
      </c>
      <c r="AI45" s="267"/>
      <c r="AJ45" s="267">
        <v>1</v>
      </c>
      <c r="AK45" s="268">
        <v>0</v>
      </c>
      <c r="AL45" s="268"/>
    </row>
    <row r="46" spans="1:38" x14ac:dyDescent="0.2">
      <c r="A46" s="262"/>
      <c r="B46" s="594" t="s">
        <v>1024</v>
      </c>
      <c r="C46" s="264">
        <v>8.1</v>
      </c>
      <c r="D46" s="265">
        <v>3</v>
      </c>
      <c r="E46" s="456"/>
      <c r="F46" s="266">
        <f t="shared" si="2"/>
        <v>3</v>
      </c>
      <c r="G46" s="266"/>
      <c r="H46" s="264">
        <f t="shared" si="3"/>
        <v>3</v>
      </c>
      <c r="I46" s="264"/>
      <c r="J46" s="264"/>
      <c r="K46" s="267">
        <f>(C46*2.5)</f>
        <v>20.25</v>
      </c>
      <c r="L46" s="268"/>
      <c r="M46" s="268"/>
      <c r="N46" s="579" t="s">
        <v>898</v>
      </c>
      <c r="O46" s="578">
        <v>3</v>
      </c>
      <c r="P46" s="267">
        <v>0</v>
      </c>
      <c r="Q46" s="267">
        <v>1</v>
      </c>
      <c r="R46" s="578">
        <v>2</v>
      </c>
      <c r="S46" s="267">
        <v>1</v>
      </c>
      <c r="T46" s="267">
        <v>1</v>
      </c>
      <c r="U46" s="267">
        <v>0</v>
      </c>
      <c r="V46" s="267">
        <v>0</v>
      </c>
      <c r="W46" s="267"/>
      <c r="X46" s="267"/>
      <c r="Y46" s="267">
        <v>1</v>
      </c>
      <c r="Z46" s="267"/>
      <c r="AA46" s="267">
        <v>1</v>
      </c>
      <c r="AB46" s="267">
        <v>0</v>
      </c>
      <c r="AC46" s="267">
        <v>0</v>
      </c>
      <c r="AD46" s="267">
        <v>1</v>
      </c>
      <c r="AE46" s="267">
        <v>1</v>
      </c>
      <c r="AF46" s="267">
        <v>1</v>
      </c>
      <c r="AG46" s="267">
        <v>1</v>
      </c>
      <c r="AH46" s="268">
        <v>1</v>
      </c>
      <c r="AI46" s="267"/>
      <c r="AJ46" s="267">
        <v>1</v>
      </c>
      <c r="AK46" s="268">
        <v>0</v>
      </c>
      <c r="AL46" s="268"/>
    </row>
    <row r="47" spans="1:38" x14ac:dyDescent="0.2">
      <c r="A47" s="262"/>
      <c r="B47" s="263" t="s">
        <v>372</v>
      </c>
      <c r="C47" s="264">
        <v>7.8</v>
      </c>
      <c r="D47" s="265">
        <v>3.6</v>
      </c>
      <c r="E47" s="456"/>
      <c r="F47" s="266">
        <f t="shared" si="2"/>
        <v>3.6</v>
      </c>
      <c r="G47" s="266"/>
      <c r="H47" s="264">
        <f t="shared" si="3"/>
        <v>3.6</v>
      </c>
      <c r="I47" s="264"/>
      <c r="J47" s="264"/>
      <c r="K47" s="267">
        <f>(C47*2.5)</f>
        <v>19.5</v>
      </c>
      <c r="L47" s="268"/>
      <c r="M47" s="268"/>
      <c r="N47" s="269"/>
      <c r="O47" s="270">
        <v>1</v>
      </c>
      <c r="P47" s="267">
        <v>1</v>
      </c>
      <c r="Q47" s="267">
        <v>1</v>
      </c>
      <c r="R47" s="267">
        <v>1</v>
      </c>
      <c r="S47" s="267"/>
      <c r="T47" s="267"/>
      <c r="U47" s="267">
        <v>1</v>
      </c>
      <c r="V47" s="267">
        <v>1</v>
      </c>
      <c r="W47" s="267"/>
      <c r="X47" s="267"/>
      <c r="Y47" s="267">
        <v>1</v>
      </c>
      <c r="Z47" s="267"/>
      <c r="AA47" s="267">
        <v>1</v>
      </c>
      <c r="AB47" s="267">
        <v>2</v>
      </c>
      <c r="AC47" s="267">
        <v>1</v>
      </c>
      <c r="AD47" s="267">
        <v>1</v>
      </c>
      <c r="AE47" s="267">
        <v>1</v>
      </c>
      <c r="AF47" s="267">
        <v>1</v>
      </c>
      <c r="AG47" s="267">
        <v>1</v>
      </c>
      <c r="AH47" s="268">
        <v>1</v>
      </c>
      <c r="AI47" s="267"/>
      <c r="AJ47" s="267"/>
      <c r="AK47" s="268">
        <v>1</v>
      </c>
      <c r="AL47" s="268">
        <v>1</v>
      </c>
    </row>
    <row r="48" spans="1:38" x14ac:dyDescent="0.2">
      <c r="A48" s="262"/>
      <c r="B48" s="263" t="s">
        <v>373</v>
      </c>
      <c r="C48" s="264">
        <v>13.5</v>
      </c>
      <c r="D48" s="265">
        <v>11.25</v>
      </c>
      <c r="E48" s="456"/>
      <c r="F48" s="266">
        <f t="shared" si="2"/>
        <v>11.25</v>
      </c>
      <c r="G48" s="266"/>
      <c r="H48" s="264">
        <f t="shared" si="3"/>
        <v>11.25</v>
      </c>
      <c r="I48" s="264"/>
      <c r="J48" s="264">
        <f t="shared" si="4"/>
        <v>13.5</v>
      </c>
      <c r="K48" s="267"/>
      <c r="L48" s="268">
        <f>C48*$A$35</f>
        <v>48.6</v>
      </c>
      <c r="M48" s="400">
        <f>L48+I48</f>
        <v>48.6</v>
      </c>
      <c r="N48" s="269"/>
      <c r="O48" s="270">
        <v>1</v>
      </c>
      <c r="P48" s="267"/>
      <c r="Q48" s="267">
        <v>0</v>
      </c>
      <c r="R48" s="267">
        <v>1</v>
      </c>
      <c r="S48" s="267"/>
      <c r="T48" s="267">
        <v>1</v>
      </c>
      <c r="U48" s="267"/>
      <c r="V48" s="267"/>
      <c r="W48" s="267"/>
      <c r="X48" s="267"/>
      <c r="Y48" s="267">
        <v>1</v>
      </c>
      <c r="Z48" s="267"/>
      <c r="AA48" s="267"/>
      <c r="AB48" s="267"/>
      <c r="AC48" s="267"/>
      <c r="AD48" s="267"/>
      <c r="AE48" s="267">
        <v>1</v>
      </c>
      <c r="AF48" s="267"/>
      <c r="AG48" s="267">
        <v>1</v>
      </c>
      <c r="AH48" s="268">
        <v>1</v>
      </c>
      <c r="AI48" s="267"/>
      <c r="AJ48" s="267">
        <v>1</v>
      </c>
      <c r="AK48" s="268"/>
      <c r="AL48" s="268"/>
    </row>
    <row r="49" spans="1:38" x14ac:dyDescent="0.2">
      <c r="A49" s="262"/>
      <c r="B49" s="263" t="s">
        <v>374</v>
      </c>
      <c r="C49" s="264">
        <v>7.2</v>
      </c>
      <c r="D49" s="265">
        <v>2.88</v>
      </c>
      <c r="E49" s="456"/>
      <c r="F49" s="266">
        <f t="shared" si="2"/>
        <v>2.88</v>
      </c>
      <c r="G49" s="266"/>
      <c r="H49" s="264">
        <f t="shared" si="3"/>
        <v>2.88</v>
      </c>
      <c r="I49" s="264"/>
      <c r="J49" s="264"/>
      <c r="K49" s="267">
        <f t="shared" si="5"/>
        <v>15.840000000000002</v>
      </c>
      <c r="L49" s="268"/>
      <c r="M49" s="268"/>
      <c r="N49" s="269"/>
      <c r="O49" s="270">
        <v>2</v>
      </c>
      <c r="P49" s="267"/>
      <c r="Q49" s="267">
        <v>1</v>
      </c>
      <c r="R49" s="267">
        <v>1</v>
      </c>
      <c r="S49" s="267">
        <v>1</v>
      </c>
      <c r="T49" s="267">
        <v>1</v>
      </c>
      <c r="U49" s="267"/>
      <c r="V49" s="267"/>
      <c r="W49" s="267"/>
      <c r="X49" s="267"/>
      <c r="Y49" s="267">
        <v>1</v>
      </c>
      <c r="Z49" s="267"/>
      <c r="AA49" s="267">
        <v>1</v>
      </c>
      <c r="AB49" s="267"/>
      <c r="AC49" s="267"/>
      <c r="AD49" s="267">
        <v>1</v>
      </c>
      <c r="AE49" s="267">
        <v>1</v>
      </c>
      <c r="AF49" s="267">
        <v>1</v>
      </c>
      <c r="AG49" s="267">
        <v>1</v>
      </c>
      <c r="AH49" s="268">
        <v>1</v>
      </c>
      <c r="AI49" s="267"/>
      <c r="AJ49" s="267">
        <v>1</v>
      </c>
      <c r="AK49" s="268"/>
      <c r="AL49" s="268"/>
    </row>
    <row r="50" spans="1:38" x14ac:dyDescent="0.2">
      <c r="A50" s="262"/>
      <c r="B50" s="263" t="s">
        <v>375</v>
      </c>
      <c r="C50" s="264">
        <v>21.3</v>
      </c>
      <c r="D50" s="265">
        <v>15</v>
      </c>
      <c r="E50" s="456"/>
      <c r="F50" s="266">
        <f t="shared" si="2"/>
        <v>15</v>
      </c>
      <c r="G50" s="266"/>
      <c r="H50" s="264">
        <f t="shared" si="3"/>
        <v>15</v>
      </c>
      <c r="I50" s="264"/>
      <c r="J50" s="264"/>
      <c r="K50" s="267">
        <f t="shared" si="5"/>
        <v>46.860000000000007</v>
      </c>
      <c r="L50" s="268"/>
      <c r="M50" s="268"/>
      <c r="N50" s="269"/>
      <c r="O50" s="270">
        <v>1</v>
      </c>
      <c r="P50" s="267"/>
      <c r="Q50" s="267">
        <v>0</v>
      </c>
      <c r="R50" s="267">
        <v>1</v>
      </c>
      <c r="S50" s="267"/>
      <c r="T50" s="267"/>
      <c r="U50" s="267"/>
      <c r="V50" s="267"/>
      <c r="W50" s="267">
        <v>1</v>
      </c>
      <c r="X50" s="267">
        <v>1</v>
      </c>
      <c r="Y50" s="267"/>
      <c r="Z50" s="267">
        <v>1</v>
      </c>
      <c r="AA50" s="267">
        <v>1</v>
      </c>
      <c r="AB50" s="267"/>
      <c r="AC50" s="267"/>
      <c r="AD50" s="267"/>
      <c r="AE50" s="267">
        <v>1</v>
      </c>
      <c r="AF50" s="267"/>
      <c r="AG50" s="267"/>
      <c r="AH50" s="268">
        <v>1</v>
      </c>
      <c r="AI50" s="267"/>
      <c r="AJ50" s="267">
        <v>1</v>
      </c>
      <c r="AK50" s="268"/>
      <c r="AL50" s="268"/>
    </row>
    <row r="51" spans="1:38" ht="22.5" x14ac:dyDescent="0.2">
      <c r="A51" s="226"/>
      <c r="B51" s="271" t="s">
        <v>376</v>
      </c>
      <c r="C51" s="242">
        <v>6.8</v>
      </c>
      <c r="D51" s="243">
        <v>2.8</v>
      </c>
      <c r="E51" s="314"/>
      <c r="F51" s="244">
        <f t="shared" si="2"/>
        <v>2.8</v>
      </c>
      <c r="G51" s="244"/>
      <c r="H51" s="242">
        <f t="shared" si="3"/>
        <v>2.8</v>
      </c>
      <c r="I51" s="242"/>
      <c r="J51" s="242">
        <f t="shared" si="4"/>
        <v>6.8</v>
      </c>
      <c r="K51" s="238"/>
      <c r="L51" s="239">
        <f>C51*3.5</f>
        <v>23.8</v>
      </c>
      <c r="M51" s="400">
        <f>L51+I51</f>
        <v>23.8</v>
      </c>
      <c r="O51" s="237"/>
      <c r="P51" s="238"/>
      <c r="Q51" s="238"/>
      <c r="R51" s="238"/>
      <c r="S51" s="238"/>
      <c r="T51" s="238"/>
      <c r="U51" s="238"/>
      <c r="V51" s="238"/>
      <c r="W51" s="238"/>
      <c r="X51" s="238"/>
      <c r="Y51" s="238"/>
      <c r="Z51" s="238"/>
      <c r="AA51" s="238"/>
      <c r="AB51" s="238"/>
      <c r="AC51" s="238"/>
      <c r="AD51" s="238"/>
      <c r="AE51" s="238"/>
      <c r="AF51" s="238"/>
      <c r="AG51" s="238"/>
      <c r="AH51" s="239"/>
      <c r="AI51" s="238"/>
      <c r="AJ51" s="238"/>
      <c r="AK51" s="239"/>
      <c r="AL51" s="239">
        <v>1</v>
      </c>
    </row>
    <row r="52" spans="1:38" ht="22.5" x14ac:dyDescent="0.2">
      <c r="A52" s="226"/>
      <c r="B52" s="271" t="s">
        <v>377</v>
      </c>
      <c r="C52" s="242">
        <v>6.8</v>
      </c>
      <c r="D52" s="243">
        <v>2.8</v>
      </c>
      <c r="E52" s="314"/>
      <c r="F52" s="244">
        <f t="shared" si="2"/>
        <v>2.8</v>
      </c>
      <c r="G52" s="244"/>
      <c r="H52" s="242">
        <f t="shared" si="3"/>
        <v>2.8</v>
      </c>
      <c r="I52" s="242"/>
      <c r="J52" s="242">
        <f t="shared" si="4"/>
        <v>6.8</v>
      </c>
      <c r="K52" s="238"/>
      <c r="L52" s="239">
        <f>C52*3.5</f>
        <v>23.8</v>
      </c>
      <c r="M52" s="400">
        <f>L52+I52</f>
        <v>23.8</v>
      </c>
      <c r="O52" s="237"/>
      <c r="P52" s="238"/>
      <c r="Q52" s="238"/>
      <c r="R52" s="238"/>
      <c r="S52" s="238"/>
      <c r="T52" s="238"/>
      <c r="U52" s="238"/>
      <c r="V52" s="238"/>
      <c r="W52" s="238"/>
      <c r="X52" s="238"/>
      <c r="Y52" s="238"/>
      <c r="Z52" s="238"/>
      <c r="AA52" s="238"/>
      <c r="AB52" s="238"/>
      <c r="AC52" s="238"/>
      <c r="AD52" s="238"/>
      <c r="AE52" s="238"/>
      <c r="AF52" s="238"/>
      <c r="AG52" s="238"/>
      <c r="AH52" s="239"/>
      <c r="AI52" s="238"/>
      <c r="AJ52" s="238"/>
      <c r="AK52" s="239"/>
      <c r="AL52" s="239">
        <v>1</v>
      </c>
    </row>
    <row r="53" spans="1:38" x14ac:dyDescent="0.2">
      <c r="A53" s="262"/>
      <c r="B53" s="263" t="s">
        <v>378</v>
      </c>
      <c r="C53" s="264">
        <v>7</v>
      </c>
      <c r="D53" s="265">
        <v>2.9</v>
      </c>
      <c r="E53" s="456"/>
      <c r="F53" s="266">
        <f t="shared" si="2"/>
        <v>2.9</v>
      </c>
      <c r="G53" s="266"/>
      <c r="H53" s="264">
        <f t="shared" si="3"/>
        <v>2.9</v>
      </c>
      <c r="I53" s="264"/>
      <c r="J53" s="264"/>
      <c r="K53" s="267">
        <f>(C53*2.2)</f>
        <v>15.400000000000002</v>
      </c>
      <c r="L53" s="268"/>
      <c r="M53" s="268"/>
      <c r="N53" s="269"/>
      <c r="O53" s="270">
        <v>3</v>
      </c>
      <c r="P53" s="267">
        <v>0</v>
      </c>
      <c r="Q53" s="267">
        <v>1</v>
      </c>
      <c r="R53" s="267">
        <v>1</v>
      </c>
      <c r="S53" s="267">
        <v>1</v>
      </c>
      <c r="T53" s="267">
        <v>1</v>
      </c>
      <c r="U53" s="267"/>
      <c r="V53" s="267"/>
      <c r="W53" s="267"/>
      <c r="X53" s="267"/>
      <c r="Y53" s="267">
        <v>1</v>
      </c>
      <c r="Z53" s="267"/>
      <c r="AA53" s="267">
        <v>2</v>
      </c>
      <c r="AB53" s="267"/>
      <c r="AC53" s="267"/>
      <c r="AD53" s="267">
        <v>1</v>
      </c>
      <c r="AE53" s="267">
        <v>1</v>
      </c>
      <c r="AF53" s="267">
        <v>1</v>
      </c>
      <c r="AG53" s="267">
        <v>1</v>
      </c>
      <c r="AH53" s="268">
        <v>1</v>
      </c>
      <c r="AI53" s="267">
        <v>1</v>
      </c>
      <c r="AJ53" s="267">
        <v>1</v>
      </c>
      <c r="AK53" s="268"/>
      <c r="AL53" s="268"/>
    </row>
    <row r="54" spans="1:38" x14ac:dyDescent="0.2">
      <c r="A54" s="262"/>
      <c r="B54" s="263" t="s">
        <v>379</v>
      </c>
      <c r="C54" s="264">
        <v>7</v>
      </c>
      <c r="D54" s="265">
        <v>2.9</v>
      </c>
      <c r="E54" s="456"/>
      <c r="F54" s="266">
        <f t="shared" si="2"/>
        <v>2.9</v>
      </c>
      <c r="G54" s="266"/>
      <c r="H54" s="264">
        <f t="shared" si="3"/>
        <v>2.9</v>
      </c>
      <c r="I54" s="264"/>
      <c r="J54" s="264"/>
      <c r="K54" s="267">
        <f>(C54*2.2)</f>
        <v>15.400000000000002</v>
      </c>
      <c r="L54" s="268"/>
      <c r="M54" s="268"/>
      <c r="N54" s="269"/>
      <c r="O54" s="270">
        <v>3</v>
      </c>
      <c r="P54" s="267">
        <v>0</v>
      </c>
      <c r="Q54" s="267">
        <v>1</v>
      </c>
      <c r="R54" s="267">
        <v>1</v>
      </c>
      <c r="S54" s="267">
        <v>1</v>
      </c>
      <c r="T54" s="267">
        <v>1</v>
      </c>
      <c r="U54" s="267"/>
      <c r="V54" s="267"/>
      <c r="W54" s="267"/>
      <c r="X54" s="267"/>
      <c r="Y54" s="267">
        <v>1</v>
      </c>
      <c r="Z54" s="267"/>
      <c r="AA54" s="267">
        <v>2</v>
      </c>
      <c r="AB54" s="267"/>
      <c r="AC54" s="267"/>
      <c r="AD54" s="267">
        <v>1</v>
      </c>
      <c r="AE54" s="267">
        <v>1</v>
      </c>
      <c r="AF54" s="267">
        <v>1</v>
      </c>
      <c r="AG54" s="267">
        <v>1</v>
      </c>
      <c r="AH54" s="268">
        <v>1</v>
      </c>
      <c r="AI54" s="267">
        <v>1</v>
      </c>
      <c r="AJ54" s="267">
        <v>1</v>
      </c>
      <c r="AK54" s="268"/>
      <c r="AL54" s="268"/>
    </row>
    <row r="55" spans="1:38" x14ac:dyDescent="0.2">
      <c r="A55" s="226"/>
      <c r="B55" s="241" t="s">
        <v>380</v>
      </c>
      <c r="C55" s="242">
        <v>27</v>
      </c>
      <c r="D55" s="243">
        <v>30</v>
      </c>
      <c r="E55" s="314"/>
      <c r="F55" s="244">
        <f t="shared" si="2"/>
        <v>30</v>
      </c>
      <c r="G55" s="244"/>
      <c r="H55" s="242">
        <f t="shared" si="3"/>
        <v>30</v>
      </c>
      <c r="I55" s="242"/>
      <c r="J55" s="242">
        <f t="shared" si="4"/>
        <v>27</v>
      </c>
      <c r="K55" s="238"/>
      <c r="L55" s="239">
        <f>C55*3.5</f>
        <v>94.5</v>
      </c>
      <c r="M55" s="400">
        <f>L55+I55</f>
        <v>94.5</v>
      </c>
      <c r="O55" s="237"/>
      <c r="P55" s="238"/>
      <c r="Q55" s="238"/>
      <c r="R55" s="238"/>
      <c r="S55" s="238"/>
      <c r="T55" s="238"/>
      <c r="U55" s="238"/>
      <c r="V55" s="238"/>
      <c r="W55" s="238"/>
      <c r="X55" s="238"/>
      <c r="Y55" s="238"/>
      <c r="Z55" s="238"/>
      <c r="AA55" s="238"/>
      <c r="AB55" s="238"/>
      <c r="AC55" s="238"/>
      <c r="AD55" s="238"/>
      <c r="AE55" s="238"/>
      <c r="AF55" s="238"/>
      <c r="AG55" s="238"/>
      <c r="AH55" s="239"/>
      <c r="AI55" s="238"/>
      <c r="AJ55" s="238"/>
      <c r="AK55" s="239"/>
      <c r="AL55" s="239"/>
    </row>
    <row r="56" spans="1:38" x14ac:dyDescent="0.2">
      <c r="A56" s="226"/>
      <c r="B56" s="241" t="s">
        <v>343</v>
      </c>
      <c r="C56" s="242">
        <v>16</v>
      </c>
      <c r="D56" s="243">
        <v>15</v>
      </c>
      <c r="E56" s="314"/>
      <c r="F56" s="244">
        <f t="shared" si="2"/>
        <v>15</v>
      </c>
      <c r="G56" s="244"/>
      <c r="H56" s="242">
        <f t="shared" si="3"/>
        <v>15</v>
      </c>
      <c r="I56" s="242"/>
      <c r="J56" s="242">
        <f t="shared" si="4"/>
        <v>16</v>
      </c>
      <c r="K56" s="238"/>
      <c r="L56" s="239">
        <f>C56*3.5</f>
        <v>56</v>
      </c>
      <c r="M56" s="400">
        <f>L56+I56</f>
        <v>56</v>
      </c>
      <c r="O56" s="237"/>
      <c r="P56" s="238"/>
      <c r="Q56" s="238"/>
      <c r="R56" s="238"/>
      <c r="S56" s="238"/>
      <c r="T56" s="238"/>
      <c r="U56" s="238"/>
      <c r="V56" s="238"/>
      <c r="W56" s="238"/>
      <c r="X56" s="238"/>
      <c r="Y56" s="238"/>
      <c r="Z56" s="238"/>
      <c r="AA56" s="238"/>
      <c r="AB56" s="238"/>
      <c r="AC56" s="238"/>
      <c r="AD56" s="238"/>
      <c r="AE56" s="272"/>
      <c r="AF56" s="238"/>
      <c r="AG56" s="238"/>
      <c r="AH56" s="239"/>
      <c r="AI56" s="238"/>
      <c r="AJ56" s="238"/>
      <c r="AK56" s="239"/>
      <c r="AL56" s="239"/>
    </row>
    <row r="57" spans="1:38" x14ac:dyDescent="0.2">
      <c r="A57" s="226"/>
      <c r="B57" s="241" t="s">
        <v>381</v>
      </c>
      <c r="C57" s="242">
        <v>100</v>
      </c>
      <c r="D57" s="243">
        <v>140</v>
      </c>
      <c r="E57" s="314"/>
      <c r="F57" s="244">
        <f t="shared" si="2"/>
        <v>140</v>
      </c>
      <c r="G57" s="244"/>
      <c r="H57" s="242">
        <f t="shared" si="3"/>
        <v>140</v>
      </c>
      <c r="I57" s="242"/>
      <c r="J57" s="242">
        <f t="shared" si="4"/>
        <v>100</v>
      </c>
      <c r="K57" s="238"/>
      <c r="L57" s="239">
        <f>C57*3.5</f>
        <v>350</v>
      </c>
      <c r="M57" s="400">
        <f>L57+I57</f>
        <v>350</v>
      </c>
      <c r="O57" s="237"/>
      <c r="P57" s="238"/>
      <c r="Q57" s="238"/>
      <c r="R57" s="238"/>
      <c r="S57" s="238"/>
      <c r="T57" s="238"/>
      <c r="U57" s="238"/>
      <c r="V57" s="238"/>
      <c r="W57" s="238"/>
      <c r="X57" s="238"/>
      <c r="Y57" s="238"/>
      <c r="Z57" s="238"/>
      <c r="AA57" s="238"/>
      <c r="AB57" s="238"/>
      <c r="AC57" s="238"/>
      <c r="AD57" s="238"/>
      <c r="AE57" s="238"/>
      <c r="AF57" s="238"/>
      <c r="AG57" s="238"/>
      <c r="AH57" s="239"/>
      <c r="AI57" s="238"/>
      <c r="AJ57" s="238"/>
      <c r="AK57" s="239"/>
      <c r="AL57" s="239"/>
    </row>
    <row r="58" spans="1:38" x14ac:dyDescent="0.2">
      <c r="A58" s="226"/>
      <c r="B58" s="241" t="s">
        <v>384</v>
      </c>
      <c r="C58" s="242">
        <v>18</v>
      </c>
      <c r="D58" s="243">
        <v>11</v>
      </c>
      <c r="E58" s="314"/>
      <c r="F58" s="244"/>
      <c r="G58" s="244"/>
      <c r="H58" s="242"/>
      <c r="I58" s="242">
        <f>D58</f>
        <v>11</v>
      </c>
      <c r="J58" s="238"/>
      <c r="K58" s="238"/>
      <c r="L58" s="239">
        <f>C58*3.5</f>
        <v>63</v>
      </c>
      <c r="M58" s="400">
        <f>L58+I58</f>
        <v>74</v>
      </c>
      <c r="O58" s="237"/>
      <c r="P58" s="238"/>
      <c r="Q58" s="238"/>
      <c r="R58" s="238"/>
      <c r="S58" s="238"/>
      <c r="T58" s="238"/>
      <c r="U58" s="238"/>
      <c r="V58" s="238"/>
      <c r="W58" s="238"/>
      <c r="X58" s="238"/>
      <c r="Y58" s="238"/>
      <c r="Z58" s="238"/>
      <c r="AA58" s="238"/>
      <c r="AB58" s="238"/>
      <c r="AC58" s="238"/>
      <c r="AD58" s="238"/>
      <c r="AE58" s="238"/>
      <c r="AF58" s="238"/>
      <c r="AG58" s="238"/>
      <c r="AH58" s="239"/>
      <c r="AI58" s="238"/>
      <c r="AJ58" s="238"/>
      <c r="AK58" s="239"/>
      <c r="AL58" s="239"/>
    </row>
    <row r="59" spans="1:38" ht="12" thickBot="1" x14ac:dyDescent="0.25">
      <c r="A59" s="251"/>
      <c r="B59" s="252"/>
      <c r="C59" s="253"/>
      <c r="D59" s="254"/>
      <c r="E59" s="455"/>
      <c r="F59" s="255">
        <f>SUM(F35:F58)</f>
        <v>437.43</v>
      </c>
      <c r="G59" s="255">
        <f t="shared" ref="G59:O59" si="6">SUM(G35:G58)</f>
        <v>0</v>
      </c>
      <c r="H59" s="255">
        <f t="shared" si="6"/>
        <v>437.43</v>
      </c>
      <c r="I59" s="255">
        <f t="shared" si="6"/>
        <v>11</v>
      </c>
      <c r="J59" s="255">
        <f t="shared" si="6"/>
        <v>322.60000000000002</v>
      </c>
      <c r="K59" s="255">
        <f t="shared" si="6"/>
        <v>197.93000000000004</v>
      </c>
      <c r="L59" s="256">
        <f t="shared" si="6"/>
        <v>1193.4499999999998</v>
      </c>
      <c r="M59" s="256">
        <f>SUM(M35:M58)</f>
        <v>1204.4499999999998</v>
      </c>
      <c r="O59" s="273">
        <f t="shared" si="6"/>
        <v>21</v>
      </c>
      <c r="P59" s="274">
        <f t="shared" ref="P59:AH59" si="7">SUM(P35:P58)</f>
        <v>1</v>
      </c>
      <c r="Q59" s="274">
        <f t="shared" si="7"/>
        <v>8</v>
      </c>
      <c r="R59" s="274">
        <f t="shared" si="7"/>
        <v>12</v>
      </c>
      <c r="S59" s="274">
        <f t="shared" si="7"/>
        <v>7</v>
      </c>
      <c r="T59" s="274">
        <f t="shared" si="7"/>
        <v>8</v>
      </c>
      <c r="U59" s="274">
        <f t="shared" si="7"/>
        <v>1</v>
      </c>
      <c r="V59" s="274">
        <f t="shared" si="7"/>
        <v>1</v>
      </c>
      <c r="W59" s="274">
        <f t="shared" si="7"/>
        <v>1</v>
      </c>
      <c r="X59" s="274">
        <f t="shared" si="7"/>
        <v>2</v>
      </c>
      <c r="Y59" s="274">
        <f t="shared" si="7"/>
        <v>9</v>
      </c>
      <c r="Z59" s="274">
        <f t="shared" si="7"/>
        <v>1</v>
      </c>
      <c r="AA59" s="274">
        <f t="shared" si="7"/>
        <v>12</v>
      </c>
      <c r="AB59" s="274">
        <f t="shared" si="7"/>
        <v>2</v>
      </c>
      <c r="AC59" s="274">
        <f t="shared" si="7"/>
        <v>1</v>
      </c>
      <c r="AD59" s="274">
        <f t="shared" si="7"/>
        <v>8</v>
      </c>
      <c r="AE59" s="274">
        <f t="shared" si="7"/>
        <v>11</v>
      </c>
      <c r="AF59" s="274">
        <f t="shared" si="7"/>
        <v>8</v>
      </c>
      <c r="AG59" s="274">
        <f t="shared" si="7"/>
        <v>9</v>
      </c>
      <c r="AH59" s="275">
        <f t="shared" si="7"/>
        <v>11</v>
      </c>
      <c r="AI59" s="274">
        <f>SUM(AI35:AI58)</f>
        <v>2</v>
      </c>
      <c r="AJ59" s="274">
        <f>SUM(AJ35:AJ58)</f>
        <v>10</v>
      </c>
      <c r="AK59" s="275">
        <f>SUM(AK35:AK58)</f>
        <v>1</v>
      </c>
      <c r="AL59" s="275">
        <f>SUM(AL35:AL58)</f>
        <v>5</v>
      </c>
    </row>
    <row r="60" spans="1:38" ht="12" thickBot="1" x14ac:dyDescent="0.25">
      <c r="O60" s="276"/>
      <c r="P60" s="259"/>
      <c r="Q60" s="259"/>
      <c r="R60" s="259"/>
      <c r="S60" s="259"/>
      <c r="T60" s="259"/>
      <c r="U60" s="259"/>
      <c r="V60" s="259"/>
      <c r="W60" s="259"/>
      <c r="X60" s="259"/>
      <c r="Y60" s="259"/>
      <c r="Z60" s="259"/>
      <c r="AA60" s="259"/>
      <c r="AB60" s="259"/>
      <c r="AC60" s="259"/>
      <c r="AD60" s="259"/>
      <c r="AE60" s="259"/>
      <c r="AF60" s="259"/>
      <c r="AG60" s="259"/>
      <c r="AH60" s="260"/>
      <c r="AI60" s="259"/>
      <c r="AJ60" s="259"/>
      <c r="AK60" s="260"/>
      <c r="AL60" s="260"/>
    </row>
    <row r="61" spans="1:38" s="221" customFormat="1" ht="34.5" thickBot="1" x14ac:dyDescent="0.25">
      <c r="A61" s="217"/>
      <c r="B61" s="218" t="s">
        <v>342</v>
      </c>
      <c r="C61" s="219" t="s">
        <v>344</v>
      </c>
      <c r="D61" s="219" t="s">
        <v>345</v>
      </c>
      <c r="E61" s="220"/>
      <c r="F61" s="323" t="s">
        <v>405</v>
      </c>
      <c r="G61" s="323" t="s">
        <v>406</v>
      </c>
      <c r="H61" s="324" t="s">
        <v>346</v>
      </c>
      <c r="I61" s="325" t="s">
        <v>407</v>
      </c>
      <c r="J61" s="324" t="s">
        <v>347</v>
      </c>
      <c r="K61" s="596" t="s">
        <v>1026</v>
      </c>
      <c r="L61" s="595" t="s">
        <v>1028</v>
      </c>
      <c r="M61" s="595" t="s">
        <v>1027</v>
      </c>
      <c r="O61" s="222" t="s">
        <v>430</v>
      </c>
      <c r="P61" s="223" t="s">
        <v>429</v>
      </c>
      <c r="Q61" s="223" t="s">
        <v>411</v>
      </c>
      <c r="R61" s="223" t="s">
        <v>412</v>
      </c>
      <c r="S61" s="223" t="s">
        <v>413</v>
      </c>
      <c r="T61" s="223" t="s">
        <v>415</v>
      </c>
      <c r="U61" s="223" t="s">
        <v>414</v>
      </c>
      <c r="V61" s="223" t="s">
        <v>416</v>
      </c>
      <c r="W61" s="224" t="s">
        <v>417</v>
      </c>
      <c r="X61" s="223" t="s">
        <v>418</v>
      </c>
      <c r="Y61" s="223" t="s">
        <v>419</v>
      </c>
      <c r="Z61" s="223" t="s">
        <v>420</v>
      </c>
      <c r="AA61" s="224" t="s">
        <v>421</v>
      </c>
      <c r="AB61" s="223" t="s">
        <v>422</v>
      </c>
      <c r="AC61" s="223" t="s">
        <v>428</v>
      </c>
      <c r="AD61" s="224" t="s">
        <v>423</v>
      </c>
      <c r="AE61" s="224" t="s">
        <v>424</v>
      </c>
      <c r="AF61" s="223" t="s">
        <v>425</v>
      </c>
      <c r="AG61" s="223" t="s">
        <v>426</v>
      </c>
      <c r="AH61" s="225" t="s">
        <v>427</v>
      </c>
      <c r="AI61" s="223" t="s">
        <v>457</v>
      </c>
      <c r="AJ61" s="223" t="s">
        <v>458</v>
      </c>
      <c r="AK61" s="225" t="s">
        <v>459</v>
      </c>
      <c r="AL61" s="225"/>
    </row>
    <row r="62" spans="1:38" s="221" customFormat="1" ht="15" x14ac:dyDescent="0.25">
      <c r="A62" s="944" t="s">
        <v>385</v>
      </c>
      <c r="B62" s="945"/>
      <c r="C62" s="945"/>
      <c r="D62" s="946"/>
      <c r="E62" s="314"/>
      <c r="F62" s="315"/>
      <c r="G62" s="315"/>
      <c r="H62" s="316"/>
      <c r="I62" s="317"/>
      <c r="J62" s="316"/>
      <c r="K62" s="316"/>
      <c r="L62" s="318"/>
      <c r="M62" s="318"/>
      <c r="O62" s="319"/>
      <c r="P62" s="320"/>
      <c r="Q62" s="320"/>
      <c r="R62" s="320"/>
      <c r="S62" s="320"/>
      <c r="T62" s="320"/>
      <c r="U62" s="320"/>
      <c r="V62" s="320"/>
      <c r="W62" s="321"/>
      <c r="X62" s="320"/>
      <c r="Y62" s="320"/>
      <c r="Z62" s="320"/>
      <c r="AA62" s="321"/>
      <c r="AB62" s="320"/>
      <c r="AC62" s="320"/>
      <c r="AD62" s="321"/>
      <c r="AE62" s="321"/>
      <c r="AF62" s="320"/>
      <c r="AG62" s="320"/>
      <c r="AH62" s="322"/>
      <c r="AI62" s="320"/>
      <c r="AJ62" s="320"/>
      <c r="AK62" s="322"/>
      <c r="AL62" s="322"/>
    </row>
    <row r="63" spans="1:38" x14ac:dyDescent="0.2">
      <c r="B63" s="277" t="s">
        <v>386</v>
      </c>
      <c r="C63" s="278">
        <v>28</v>
      </c>
      <c r="D63" s="279">
        <v>33.5</v>
      </c>
      <c r="E63" s="314"/>
      <c r="F63" s="280">
        <f>D63</f>
        <v>33.5</v>
      </c>
      <c r="G63" s="280"/>
      <c r="H63" s="278">
        <f>D63</f>
        <v>33.5</v>
      </c>
      <c r="I63" s="278"/>
      <c r="J63" s="278">
        <f>C63</f>
        <v>28</v>
      </c>
      <c r="K63" s="238"/>
      <c r="L63" s="232">
        <f>C63*2.5</f>
        <v>70</v>
      </c>
      <c r="M63" s="400">
        <f>L63+I63</f>
        <v>70</v>
      </c>
      <c r="O63" s="237"/>
      <c r="P63" s="238"/>
      <c r="Q63" s="238"/>
      <c r="R63" s="238"/>
      <c r="S63" s="238"/>
      <c r="T63" s="238"/>
      <c r="U63" s="238"/>
      <c r="V63" s="238"/>
      <c r="W63" s="238"/>
      <c r="X63" s="238"/>
      <c r="Y63" s="238"/>
      <c r="Z63" s="238"/>
      <c r="AA63" s="238"/>
      <c r="AB63" s="238"/>
      <c r="AC63" s="238"/>
      <c r="AD63" s="238"/>
      <c r="AE63" s="238"/>
      <c r="AF63" s="238"/>
      <c r="AG63" s="238"/>
      <c r="AH63" s="239"/>
      <c r="AI63" s="238"/>
      <c r="AJ63" s="238"/>
      <c r="AK63" s="239"/>
      <c r="AL63" s="239"/>
    </row>
    <row r="64" spans="1:38" x14ac:dyDescent="0.2">
      <c r="A64" s="262">
        <v>2.7</v>
      </c>
      <c r="B64" s="263" t="s">
        <v>387</v>
      </c>
      <c r="C64" s="264">
        <v>7</v>
      </c>
      <c r="D64" s="265">
        <v>3</v>
      </c>
      <c r="E64" s="456"/>
      <c r="F64" s="266">
        <f t="shared" ref="F64:F81" si="8">D64</f>
        <v>3</v>
      </c>
      <c r="G64" s="266"/>
      <c r="H64" s="264">
        <f t="shared" ref="H64:H81" si="9">D64</f>
        <v>3</v>
      </c>
      <c r="I64" s="264"/>
      <c r="J64" s="264"/>
      <c r="K64" s="267">
        <f>C64*2.2</f>
        <v>15.400000000000002</v>
      </c>
      <c r="L64" s="268"/>
      <c r="M64" s="268"/>
      <c r="N64" s="269"/>
      <c r="O64" s="270">
        <v>2</v>
      </c>
      <c r="P64" s="267"/>
      <c r="Q64" s="267">
        <v>1</v>
      </c>
      <c r="R64" s="267">
        <v>1</v>
      </c>
      <c r="S64" s="267">
        <v>1</v>
      </c>
      <c r="T64" s="267">
        <v>1</v>
      </c>
      <c r="U64" s="267"/>
      <c r="V64" s="267"/>
      <c r="W64" s="267"/>
      <c r="X64" s="267"/>
      <c r="Y64" s="267">
        <v>1</v>
      </c>
      <c r="Z64" s="267"/>
      <c r="AA64" s="267">
        <v>1</v>
      </c>
      <c r="AB64" s="267"/>
      <c r="AC64" s="267"/>
      <c r="AD64" s="267">
        <v>1</v>
      </c>
      <c r="AE64" s="267">
        <v>1</v>
      </c>
      <c r="AF64" s="267">
        <v>1</v>
      </c>
      <c r="AG64" s="267">
        <v>1</v>
      </c>
      <c r="AH64" s="268">
        <v>1</v>
      </c>
      <c r="AI64" s="267"/>
      <c r="AJ64" s="267">
        <v>1</v>
      </c>
      <c r="AK64" s="268"/>
      <c r="AL64" s="268"/>
    </row>
    <row r="65" spans="1:38" x14ac:dyDescent="0.2">
      <c r="A65" s="226"/>
      <c r="B65" s="241" t="s">
        <v>388</v>
      </c>
      <c r="C65" s="242">
        <v>15</v>
      </c>
      <c r="D65" s="243">
        <v>12</v>
      </c>
      <c r="E65" s="314"/>
      <c r="F65" s="280">
        <f t="shared" si="8"/>
        <v>12</v>
      </c>
      <c r="G65" s="244"/>
      <c r="H65" s="278">
        <f t="shared" si="9"/>
        <v>12</v>
      </c>
      <c r="I65" s="242"/>
      <c r="J65" s="278">
        <f t="shared" ref="J65:J77" si="10">C65</f>
        <v>15</v>
      </c>
      <c r="K65" s="238"/>
      <c r="L65" s="232">
        <f>C65*2.5</f>
        <v>37.5</v>
      </c>
      <c r="M65" s="400">
        <f>L65+I65</f>
        <v>37.5</v>
      </c>
      <c r="O65" s="237"/>
      <c r="P65" s="238"/>
      <c r="Q65" s="238"/>
      <c r="R65" s="238"/>
      <c r="S65" s="238"/>
      <c r="T65" s="238"/>
      <c r="U65" s="238"/>
      <c r="V65" s="238"/>
      <c r="W65" s="238"/>
      <c r="X65" s="238"/>
      <c r="Y65" s="238"/>
      <c r="Z65" s="238"/>
      <c r="AA65" s="238"/>
      <c r="AB65" s="238"/>
      <c r="AC65" s="238"/>
      <c r="AD65" s="238"/>
      <c r="AE65" s="238"/>
      <c r="AF65" s="238"/>
      <c r="AG65" s="238"/>
      <c r="AH65" s="239"/>
      <c r="AI65" s="238"/>
      <c r="AJ65" s="238"/>
      <c r="AK65" s="239"/>
      <c r="AL65" s="239"/>
    </row>
    <row r="66" spans="1:38" x14ac:dyDescent="0.2">
      <c r="A66" s="226"/>
      <c r="B66" s="241" t="s">
        <v>389</v>
      </c>
      <c r="C66" s="242">
        <v>26</v>
      </c>
      <c r="D66" s="243">
        <v>40</v>
      </c>
      <c r="E66" s="314"/>
      <c r="F66" s="280">
        <f t="shared" si="8"/>
        <v>40</v>
      </c>
      <c r="G66" s="244"/>
      <c r="H66" s="278">
        <f t="shared" si="9"/>
        <v>40</v>
      </c>
      <c r="I66" s="242"/>
      <c r="J66" s="278">
        <f t="shared" si="10"/>
        <v>26</v>
      </c>
      <c r="K66" s="238"/>
      <c r="L66" s="232">
        <f>C66*2.5</f>
        <v>65</v>
      </c>
      <c r="M66" s="400">
        <f>L66+I66</f>
        <v>65</v>
      </c>
      <c r="O66" s="237"/>
      <c r="P66" s="238"/>
      <c r="Q66" s="238"/>
      <c r="R66" s="238"/>
      <c r="S66" s="238"/>
      <c r="T66" s="238"/>
      <c r="U66" s="238"/>
      <c r="V66" s="238"/>
      <c r="W66" s="238"/>
      <c r="X66" s="238"/>
      <c r="Y66" s="238"/>
      <c r="Z66" s="238"/>
      <c r="AA66" s="238"/>
      <c r="AB66" s="238"/>
      <c r="AC66" s="238"/>
      <c r="AD66" s="238"/>
      <c r="AE66" s="238"/>
      <c r="AF66" s="238"/>
      <c r="AG66" s="238"/>
      <c r="AH66" s="239"/>
      <c r="AI66" s="238"/>
      <c r="AJ66" s="238"/>
      <c r="AK66" s="239"/>
      <c r="AL66" s="239"/>
    </row>
    <row r="67" spans="1:38" x14ac:dyDescent="0.2">
      <c r="A67" s="226"/>
      <c r="B67" s="241" t="s">
        <v>390</v>
      </c>
      <c r="C67" s="242">
        <v>13.8</v>
      </c>
      <c r="D67" s="243">
        <v>12</v>
      </c>
      <c r="E67" s="314"/>
      <c r="F67" s="280">
        <f t="shared" si="8"/>
        <v>12</v>
      </c>
      <c r="G67" s="244"/>
      <c r="H67" s="278">
        <f t="shared" si="9"/>
        <v>12</v>
      </c>
      <c r="I67" s="242"/>
      <c r="J67" s="278">
        <f t="shared" si="10"/>
        <v>13.8</v>
      </c>
      <c r="K67" s="238"/>
      <c r="L67" s="232">
        <f>C67*2.5</f>
        <v>34.5</v>
      </c>
      <c r="M67" s="400">
        <f>L67+I67</f>
        <v>34.5</v>
      </c>
      <c r="O67" s="237"/>
      <c r="P67" s="238"/>
      <c r="Q67" s="238"/>
      <c r="R67" s="238"/>
      <c r="S67" s="238"/>
      <c r="T67" s="238"/>
      <c r="U67" s="238"/>
      <c r="V67" s="238"/>
      <c r="W67" s="238"/>
      <c r="X67" s="238"/>
      <c r="Y67" s="238"/>
      <c r="Z67" s="238"/>
      <c r="AA67" s="238"/>
      <c r="AB67" s="238"/>
      <c r="AC67" s="238"/>
      <c r="AD67" s="238"/>
      <c r="AE67" s="238"/>
      <c r="AF67" s="238"/>
      <c r="AG67" s="238"/>
      <c r="AH67" s="239"/>
      <c r="AI67" s="238"/>
      <c r="AJ67" s="238"/>
      <c r="AK67" s="239"/>
      <c r="AL67" s="239"/>
    </row>
    <row r="68" spans="1:38" x14ac:dyDescent="0.2">
      <c r="A68" s="226"/>
      <c r="B68" s="241" t="s">
        <v>391</v>
      </c>
      <c r="C68" s="242">
        <v>76.5</v>
      </c>
      <c r="D68" s="243">
        <v>120</v>
      </c>
      <c r="E68" s="314"/>
      <c r="F68" s="280">
        <f t="shared" si="8"/>
        <v>120</v>
      </c>
      <c r="G68" s="244"/>
      <c r="H68" s="278">
        <f t="shared" si="9"/>
        <v>120</v>
      </c>
      <c r="I68" s="242"/>
      <c r="J68" s="278">
        <f t="shared" si="10"/>
        <v>76.5</v>
      </c>
      <c r="K68" s="238"/>
      <c r="L68" s="232">
        <f>C68*2.5</f>
        <v>191.25</v>
      </c>
      <c r="M68" s="400">
        <f>L68+I68</f>
        <v>191.25</v>
      </c>
      <c r="O68" s="237"/>
      <c r="P68" s="238"/>
      <c r="Q68" s="238"/>
      <c r="R68" s="238"/>
      <c r="S68" s="238"/>
      <c r="T68" s="238"/>
      <c r="U68" s="238"/>
      <c r="V68" s="238"/>
      <c r="W68" s="238"/>
      <c r="X68" s="238"/>
      <c r="Y68" s="238"/>
      <c r="Z68" s="238"/>
      <c r="AA68" s="238"/>
      <c r="AB68" s="238"/>
      <c r="AC68" s="238"/>
      <c r="AD68" s="238"/>
      <c r="AE68" s="238"/>
      <c r="AF68" s="238"/>
      <c r="AG68" s="238"/>
      <c r="AH68" s="239"/>
      <c r="AI68" s="238"/>
      <c r="AJ68" s="238"/>
      <c r="AK68" s="239"/>
      <c r="AL68" s="239"/>
    </row>
    <row r="69" spans="1:38" x14ac:dyDescent="0.2">
      <c r="A69" s="262"/>
      <c r="B69" s="263" t="s">
        <v>392</v>
      </c>
      <c r="C69" s="264">
        <v>6.9</v>
      </c>
      <c r="D69" s="265">
        <v>3</v>
      </c>
      <c r="E69" s="456"/>
      <c r="F69" s="266">
        <f t="shared" si="8"/>
        <v>3</v>
      </c>
      <c r="G69" s="266"/>
      <c r="H69" s="264">
        <f t="shared" si="9"/>
        <v>3</v>
      </c>
      <c r="I69" s="264"/>
      <c r="J69" s="264"/>
      <c r="K69" s="267">
        <f>C69*2.2</f>
        <v>15.180000000000001</v>
      </c>
      <c r="L69" s="268"/>
      <c r="M69" s="268"/>
      <c r="N69" s="269"/>
      <c r="O69" s="270">
        <v>2</v>
      </c>
      <c r="P69" s="267"/>
      <c r="Q69" s="267">
        <v>1</v>
      </c>
      <c r="R69" s="267">
        <v>1</v>
      </c>
      <c r="S69" s="267">
        <v>1</v>
      </c>
      <c r="T69" s="267">
        <v>1</v>
      </c>
      <c r="U69" s="267"/>
      <c r="V69" s="267"/>
      <c r="W69" s="267"/>
      <c r="X69" s="267"/>
      <c r="Y69" s="267">
        <v>1</v>
      </c>
      <c r="Z69" s="267"/>
      <c r="AA69" s="267">
        <v>1</v>
      </c>
      <c r="AB69" s="267"/>
      <c r="AC69" s="267"/>
      <c r="AD69" s="267">
        <v>1</v>
      </c>
      <c r="AE69" s="267">
        <v>1</v>
      </c>
      <c r="AF69" s="267">
        <v>1</v>
      </c>
      <c r="AG69" s="267">
        <v>1</v>
      </c>
      <c r="AH69" s="268">
        <v>1</v>
      </c>
      <c r="AI69" s="267"/>
      <c r="AJ69" s="267">
        <v>1</v>
      </c>
      <c r="AK69" s="268">
        <v>0</v>
      </c>
      <c r="AL69" s="268"/>
    </row>
    <row r="70" spans="1:38" x14ac:dyDescent="0.2">
      <c r="A70" s="262"/>
      <c r="B70" s="263" t="s">
        <v>393</v>
      </c>
      <c r="C70" s="264">
        <v>6</v>
      </c>
      <c r="D70" s="265">
        <v>2.35</v>
      </c>
      <c r="E70" s="456"/>
      <c r="F70" s="266">
        <f t="shared" si="8"/>
        <v>2.35</v>
      </c>
      <c r="G70" s="266"/>
      <c r="H70" s="264">
        <f t="shared" si="9"/>
        <v>2.35</v>
      </c>
      <c r="I70" s="264"/>
      <c r="J70" s="264"/>
      <c r="K70" s="267">
        <f>C70*2.2</f>
        <v>13.200000000000001</v>
      </c>
      <c r="L70" s="268"/>
      <c r="M70" s="268"/>
      <c r="N70" s="269"/>
      <c r="O70" s="270">
        <v>2</v>
      </c>
      <c r="P70" s="267">
        <v>0</v>
      </c>
      <c r="Q70" s="267">
        <v>1</v>
      </c>
      <c r="R70" s="267">
        <v>1</v>
      </c>
      <c r="S70" s="267">
        <v>1</v>
      </c>
      <c r="T70" s="267">
        <v>1</v>
      </c>
      <c r="U70" s="267">
        <v>0</v>
      </c>
      <c r="V70" s="267">
        <v>0</v>
      </c>
      <c r="W70" s="267"/>
      <c r="X70" s="267"/>
      <c r="Y70" s="267">
        <v>1</v>
      </c>
      <c r="Z70" s="267"/>
      <c r="AA70" s="267">
        <v>1</v>
      </c>
      <c r="AB70" s="267">
        <v>0</v>
      </c>
      <c r="AC70" s="267">
        <v>0</v>
      </c>
      <c r="AD70" s="267">
        <v>1</v>
      </c>
      <c r="AE70" s="267">
        <v>1</v>
      </c>
      <c r="AF70" s="267">
        <v>1</v>
      </c>
      <c r="AG70" s="267">
        <v>1</v>
      </c>
      <c r="AH70" s="268">
        <v>1</v>
      </c>
      <c r="AI70" s="267"/>
      <c r="AJ70" s="267">
        <v>1</v>
      </c>
      <c r="AK70" s="268"/>
      <c r="AL70" s="268"/>
    </row>
    <row r="71" spans="1:38" x14ac:dyDescent="0.2">
      <c r="A71" s="262"/>
      <c r="B71" s="263" t="s">
        <v>394</v>
      </c>
      <c r="C71" s="264">
        <v>15</v>
      </c>
      <c r="D71" s="265">
        <v>12</v>
      </c>
      <c r="E71" s="456"/>
      <c r="F71" s="266">
        <f t="shared" si="8"/>
        <v>12</v>
      </c>
      <c r="G71" s="266"/>
      <c r="H71" s="264">
        <f t="shared" si="9"/>
        <v>12</v>
      </c>
      <c r="I71" s="264"/>
      <c r="J71" s="264"/>
      <c r="K71" s="267">
        <f>C71*2.2</f>
        <v>33</v>
      </c>
      <c r="L71" s="268"/>
      <c r="M71" s="268"/>
      <c r="N71" s="269"/>
      <c r="O71" s="270">
        <v>1</v>
      </c>
      <c r="P71" s="267"/>
      <c r="Q71" s="267"/>
      <c r="R71" s="267">
        <v>1</v>
      </c>
      <c r="S71" s="267"/>
      <c r="T71" s="267"/>
      <c r="U71" s="267"/>
      <c r="V71" s="267"/>
      <c r="W71" s="267"/>
      <c r="X71" s="267">
        <v>1</v>
      </c>
      <c r="Y71" s="267"/>
      <c r="Z71" s="267"/>
      <c r="AA71" s="267">
        <v>1</v>
      </c>
      <c r="AB71" s="267"/>
      <c r="AC71" s="267"/>
      <c r="AD71" s="267">
        <v>1</v>
      </c>
      <c r="AE71" s="267">
        <v>1</v>
      </c>
      <c r="AF71" s="267">
        <v>1</v>
      </c>
      <c r="AG71" s="267"/>
      <c r="AH71" s="268">
        <v>1</v>
      </c>
      <c r="AI71" s="267"/>
      <c r="AJ71" s="267">
        <v>1</v>
      </c>
      <c r="AK71" s="268"/>
      <c r="AL71" s="268"/>
    </row>
    <row r="72" spans="1:38" x14ac:dyDescent="0.2">
      <c r="A72" s="226"/>
      <c r="B72" s="241" t="s">
        <v>395</v>
      </c>
      <c r="C72" s="242">
        <v>10.86</v>
      </c>
      <c r="D72" s="243">
        <v>6.64</v>
      </c>
      <c r="E72" s="314"/>
      <c r="F72" s="280">
        <f t="shared" si="8"/>
        <v>6.64</v>
      </c>
      <c r="G72" s="244"/>
      <c r="H72" s="278">
        <f t="shared" si="9"/>
        <v>6.64</v>
      </c>
      <c r="I72" s="242"/>
      <c r="J72" s="278">
        <f t="shared" si="10"/>
        <v>10.86</v>
      </c>
      <c r="K72" s="238"/>
      <c r="L72" s="232">
        <f t="shared" ref="L72:L77" si="11">C72*2.5</f>
        <v>27.15</v>
      </c>
      <c r="M72" s="400">
        <f t="shared" ref="M72:M77" si="12">L72+I72</f>
        <v>27.15</v>
      </c>
      <c r="O72" s="237"/>
      <c r="P72" s="238"/>
      <c r="Q72" s="238"/>
      <c r="R72" s="238"/>
      <c r="S72" s="238"/>
      <c r="T72" s="238"/>
      <c r="U72" s="238"/>
      <c r="V72" s="238"/>
      <c r="W72" s="238"/>
      <c r="X72" s="238"/>
      <c r="Y72" s="238"/>
      <c r="Z72" s="238"/>
      <c r="AA72" s="238"/>
      <c r="AB72" s="238"/>
      <c r="AC72" s="238"/>
      <c r="AD72" s="238"/>
      <c r="AE72" s="238"/>
      <c r="AF72" s="238"/>
      <c r="AG72" s="238"/>
      <c r="AH72" s="239"/>
      <c r="AI72" s="238"/>
      <c r="AJ72" s="238"/>
      <c r="AK72" s="239"/>
      <c r="AL72" s="239"/>
    </row>
    <row r="73" spans="1:38" x14ac:dyDescent="0.2">
      <c r="A73" s="226"/>
      <c r="B73" s="241" t="s">
        <v>396</v>
      </c>
      <c r="C73" s="242">
        <v>14</v>
      </c>
      <c r="D73" s="243">
        <v>12.6</v>
      </c>
      <c r="E73" s="314"/>
      <c r="F73" s="280">
        <f t="shared" si="8"/>
        <v>12.6</v>
      </c>
      <c r="G73" s="244"/>
      <c r="H73" s="278">
        <f t="shared" si="9"/>
        <v>12.6</v>
      </c>
      <c r="I73" s="242"/>
      <c r="J73" s="278">
        <f t="shared" si="10"/>
        <v>14</v>
      </c>
      <c r="K73" s="238"/>
      <c r="L73" s="232">
        <f t="shared" si="11"/>
        <v>35</v>
      </c>
      <c r="M73" s="400">
        <f t="shared" si="12"/>
        <v>35</v>
      </c>
      <c r="O73" s="237"/>
      <c r="P73" s="238"/>
      <c r="Q73" s="238"/>
      <c r="R73" s="238"/>
      <c r="S73" s="238"/>
      <c r="T73" s="238"/>
      <c r="U73" s="238"/>
      <c r="V73" s="238"/>
      <c r="W73" s="238"/>
      <c r="X73" s="238"/>
      <c r="Y73" s="238"/>
      <c r="Z73" s="238"/>
      <c r="AA73" s="238"/>
      <c r="AB73" s="238"/>
      <c r="AC73" s="238"/>
      <c r="AD73" s="238"/>
      <c r="AE73" s="238"/>
      <c r="AF73" s="238"/>
      <c r="AG73" s="238"/>
      <c r="AH73" s="239"/>
      <c r="AI73" s="238"/>
      <c r="AJ73" s="238"/>
      <c r="AK73" s="239"/>
      <c r="AL73" s="239"/>
    </row>
    <row r="74" spans="1:38" x14ac:dyDescent="0.2">
      <c r="A74" s="226"/>
      <c r="B74" s="241" t="s">
        <v>397</v>
      </c>
      <c r="C74" s="242">
        <v>25</v>
      </c>
      <c r="D74" s="243">
        <v>31</v>
      </c>
      <c r="E74" s="314"/>
      <c r="F74" s="280">
        <f t="shared" si="8"/>
        <v>31</v>
      </c>
      <c r="G74" s="244"/>
      <c r="H74" s="278">
        <f t="shared" si="9"/>
        <v>31</v>
      </c>
      <c r="I74" s="242"/>
      <c r="J74" s="278">
        <f t="shared" si="10"/>
        <v>25</v>
      </c>
      <c r="K74" s="238"/>
      <c r="L74" s="232">
        <f t="shared" si="11"/>
        <v>62.5</v>
      </c>
      <c r="M74" s="400">
        <f t="shared" si="12"/>
        <v>62.5</v>
      </c>
      <c r="O74" s="237"/>
      <c r="P74" s="238"/>
      <c r="Q74" s="238"/>
      <c r="R74" s="238"/>
      <c r="S74" s="238"/>
      <c r="T74" s="238"/>
      <c r="U74" s="238"/>
      <c r="V74" s="238"/>
      <c r="W74" s="238"/>
      <c r="X74" s="238"/>
      <c r="Y74" s="238"/>
      <c r="Z74" s="238"/>
      <c r="AA74" s="238"/>
      <c r="AB74" s="238"/>
      <c r="AC74" s="238"/>
      <c r="AD74" s="238"/>
      <c r="AE74" s="238"/>
      <c r="AF74" s="238"/>
      <c r="AG74" s="238"/>
      <c r="AH74" s="239"/>
      <c r="AI74" s="238"/>
      <c r="AJ74" s="238"/>
      <c r="AK74" s="239"/>
      <c r="AL74" s="239"/>
    </row>
    <row r="75" spans="1:38" x14ac:dyDescent="0.2">
      <c r="A75" s="262"/>
      <c r="B75" s="263" t="s">
        <v>398</v>
      </c>
      <c r="C75" s="264">
        <v>7</v>
      </c>
      <c r="D75" s="265">
        <v>3</v>
      </c>
      <c r="E75" s="456"/>
      <c r="F75" s="266">
        <f t="shared" si="8"/>
        <v>3</v>
      </c>
      <c r="G75" s="266"/>
      <c r="H75" s="264">
        <f t="shared" si="9"/>
        <v>3</v>
      </c>
      <c r="I75" s="264"/>
      <c r="J75" s="264"/>
      <c r="K75" s="267">
        <f>C75*2.2</f>
        <v>15.400000000000002</v>
      </c>
      <c r="L75" s="268"/>
      <c r="M75" s="268"/>
      <c r="N75" s="269"/>
      <c r="O75" s="270">
        <v>2</v>
      </c>
      <c r="P75" s="267"/>
      <c r="Q75" s="267">
        <v>1</v>
      </c>
      <c r="R75" s="267">
        <v>1</v>
      </c>
      <c r="S75" s="267">
        <v>1</v>
      </c>
      <c r="T75" s="267">
        <v>1</v>
      </c>
      <c r="U75" s="267"/>
      <c r="V75" s="267"/>
      <c r="W75" s="267"/>
      <c r="X75" s="267"/>
      <c r="Y75" s="267">
        <v>1</v>
      </c>
      <c r="Z75" s="267"/>
      <c r="AA75" s="267">
        <v>1</v>
      </c>
      <c r="AB75" s="267"/>
      <c r="AC75" s="267"/>
      <c r="AD75" s="267">
        <v>1</v>
      </c>
      <c r="AE75" s="267">
        <v>1</v>
      </c>
      <c r="AF75" s="267">
        <v>1</v>
      </c>
      <c r="AG75" s="267">
        <v>1</v>
      </c>
      <c r="AH75" s="268">
        <v>1</v>
      </c>
      <c r="AI75" s="267"/>
      <c r="AJ75" s="267">
        <v>1</v>
      </c>
      <c r="AK75" s="268"/>
      <c r="AL75" s="268"/>
    </row>
    <row r="76" spans="1:38" x14ac:dyDescent="0.2">
      <c r="A76" s="226"/>
      <c r="B76" s="241" t="s">
        <v>399</v>
      </c>
      <c r="C76" s="242">
        <v>27</v>
      </c>
      <c r="D76" s="243">
        <v>45</v>
      </c>
      <c r="E76" s="314"/>
      <c r="F76" s="280">
        <f t="shared" si="8"/>
        <v>45</v>
      </c>
      <c r="G76" s="244"/>
      <c r="H76" s="278">
        <f t="shared" si="9"/>
        <v>45</v>
      </c>
      <c r="I76" s="242"/>
      <c r="J76" s="278">
        <f t="shared" si="10"/>
        <v>27</v>
      </c>
      <c r="K76" s="238"/>
      <c r="L76" s="232">
        <f t="shared" si="11"/>
        <v>67.5</v>
      </c>
      <c r="M76" s="400">
        <f t="shared" si="12"/>
        <v>67.5</v>
      </c>
      <c r="O76" s="237"/>
      <c r="P76" s="238"/>
      <c r="Q76" s="238"/>
      <c r="R76" s="238"/>
      <c r="S76" s="238"/>
      <c r="T76" s="238"/>
      <c r="U76" s="238"/>
      <c r="V76" s="238"/>
      <c r="W76" s="238"/>
      <c r="X76" s="238"/>
      <c r="Y76" s="238"/>
      <c r="Z76" s="238"/>
      <c r="AA76" s="238"/>
      <c r="AB76" s="238"/>
      <c r="AC76" s="238"/>
      <c r="AD76" s="238"/>
      <c r="AE76" s="238"/>
      <c r="AF76" s="238"/>
      <c r="AG76" s="238"/>
      <c r="AH76" s="239"/>
      <c r="AI76" s="238"/>
      <c r="AJ76" s="238"/>
      <c r="AK76" s="239"/>
      <c r="AL76" s="239"/>
    </row>
    <row r="77" spans="1:38" x14ac:dyDescent="0.2">
      <c r="A77" s="226"/>
      <c r="B77" s="241" t="s">
        <v>400</v>
      </c>
      <c r="C77" s="242">
        <v>60</v>
      </c>
      <c r="D77" s="243">
        <v>86</v>
      </c>
      <c r="E77" s="314"/>
      <c r="F77" s="280">
        <f t="shared" si="8"/>
        <v>86</v>
      </c>
      <c r="G77" s="244"/>
      <c r="H77" s="278">
        <f t="shared" si="9"/>
        <v>86</v>
      </c>
      <c r="I77" s="242"/>
      <c r="J77" s="278">
        <f t="shared" si="10"/>
        <v>60</v>
      </c>
      <c r="K77" s="238"/>
      <c r="L77" s="232">
        <f t="shared" si="11"/>
        <v>150</v>
      </c>
      <c r="M77" s="400">
        <f t="shared" si="12"/>
        <v>150</v>
      </c>
      <c r="O77" s="237"/>
      <c r="P77" s="238"/>
      <c r="Q77" s="238"/>
      <c r="R77" s="238"/>
      <c r="S77" s="238"/>
      <c r="T77" s="238"/>
      <c r="U77" s="238"/>
      <c r="V77" s="238"/>
      <c r="W77" s="238"/>
      <c r="X77" s="238"/>
      <c r="Y77" s="238"/>
      <c r="Z77" s="238"/>
      <c r="AA77" s="238"/>
      <c r="AB77" s="238"/>
      <c r="AC77" s="238"/>
      <c r="AD77" s="238"/>
      <c r="AE77" s="238"/>
      <c r="AF77" s="238"/>
      <c r="AG77" s="238"/>
      <c r="AH77" s="239"/>
      <c r="AI77" s="238"/>
      <c r="AJ77" s="238"/>
      <c r="AK77" s="239"/>
      <c r="AL77" s="239"/>
    </row>
    <row r="78" spans="1:38" x14ac:dyDescent="0.2">
      <c r="A78" s="262"/>
      <c r="B78" s="263" t="s">
        <v>401</v>
      </c>
      <c r="C78" s="264">
        <v>13.5</v>
      </c>
      <c r="D78" s="265">
        <v>5.9</v>
      </c>
      <c r="E78" s="456"/>
      <c r="F78" s="266">
        <f t="shared" si="8"/>
        <v>5.9</v>
      </c>
      <c r="G78" s="266"/>
      <c r="H78" s="264">
        <f t="shared" si="9"/>
        <v>5.9</v>
      </c>
      <c r="I78" s="264"/>
      <c r="J78" s="264"/>
      <c r="K78" s="267">
        <f>C78*2.2</f>
        <v>29.700000000000003</v>
      </c>
      <c r="L78" s="268"/>
      <c r="M78" s="268"/>
      <c r="N78" s="580" t="s">
        <v>898</v>
      </c>
      <c r="O78" s="578">
        <v>5</v>
      </c>
      <c r="P78" s="267"/>
      <c r="Q78" s="267">
        <v>2</v>
      </c>
      <c r="R78" s="578">
        <v>3</v>
      </c>
      <c r="S78" s="267">
        <v>2</v>
      </c>
      <c r="T78" s="267">
        <v>2</v>
      </c>
      <c r="U78" s="267"/>
      <c r="V78" s="267"/>
      <c r="W78" s="267"/>
      <c r="X78" s="267"/>
      <c r="Y78" s="267">
        <v>2</v>
      </c>
      <c r="Z78" s="267"/>
      <c r="AA78" s="267">
        <v>1</v>
      </c>
      <c r="AB78" s="267"/>
      <c r="AC78" s="267"/>
      <c r="AD78" s="267">
        <v>2</v>
      </c>
      <c r="AE78" s="267">
        <v>2</v>
      </c>
      <c r="AF78" s="267">
        <v>2</v>
      </c>
      <c r="AG78" s="267">
        <v>2</v>
      </c>
      <c r="AH78" s="268">
        <v>1</v>
      </c>
      <c r="AI78" s="267"/>
      <c r="AJ78" s="267">
        <v>1</v>
      </c>
      <c r="AK78" s="268"/>
      <c r="AL78" s="268">
        <v>1</v>
      </c>
    </row>
    <row r="79" spans="1:38" x14ac:dyDescent="0.2">
      <c r="A79" s="262"/>
      <c r="B79" s="263" t="s">
        <v>402</v>
      </c>
      <c r="C79" s="264">
        <v>13.5</v>
      </c>
      <c r="D79" s="265">
        <v>5.9</v>
      </c>
      <c r="E79" s="456"/>
      <c r="F79" s="266">
        <f t="shared" si="8"/>
        <v>5.9</v>
      </c>
      <c r="G79" s="266"/>
      <c r="H79" s="264">
        <f t="shared" si="9"/>
        <v>5.9</v>
      </c>
      <c r="I79" s="264"/>
      <c r="J79" s="264"/>
      <c r="K79" s="267">
        <f>C79*2.2</f>
        <v>29.700000000000003</v>
      </c>
      <c r="L79" s="268"/>
      <c r="M79" s="268"/>
      <c r="N79" s="269"/>
      <c r="O79" s="270">
        <v>4</v>
      </c>
      <c r="P79" s="267"/>
      <c r="Q79" s="267">
        <v>2</v>
      </c>
      <c r="R79" s="267">
        <v>2</v>
      </c>
      <c r="S79" s="267">
        <v>2</v>
      </c>
      <c r="T79" s="267">
        <v>2</v>
      </c>
      <c r="U79" s="267"/>
      <c r="V79" s="267"/>
      <c r="W79" s="267"/>
      <c r="X79" s="267"/>
      <c r="Y79" s="267">
        <v>2</v>
      </c>
      <c r="Z79" s="267"/>
      <c r="AA79" s="267">
        <v>1</v>
      </c>
      <c r="AB79" s="267"/>
      <c r="AC79" s="267"/>
      <c r="AD79" s="267">
        <v>2</v>
      </c>
      <c r="AE79" s="267">
        <v>2</v>
      </c>
      <c r="AF79" s="267">
        <v>2</v>
      </c>
      <c r="AG79" s="267">
        <v>2</v>
      </c>
      <c r="AH79" s="268">
        <v>1</v>
      </c>
      <c r="AI79" s="267"/>
      <c r="AJ79" s="267">
        <v>1</v>
      </c>
      <c r="AK79" s="268"/>
      <c r="AL79" s="268"/>
    </row>
    <row r="80" spans="1:38" x14ac:dyDescent="0.2">
      <c r="A80" s="226"/>
      <c r="B80" s="241" t="s">
        <v>403</v>
      </c>
      <c r="C80" s="242">
        <v>17</v>
      </c>
      <c r="D80" s="243">
        <v>10.4</v>
      </c>
      <c r="E80" s="314"/>
      <c r="F80" s="280"/>
      <c r="G80" s="244">
        <f>D80</f>
        <v>10.4</v>
      </c>
      <c r="H80" s="278"/>
      <c r="I80" s="242">
        <f>D80</f>
        <v>10.4</v>
      </c>
      <c r="J80" s="278"/>
      <c r="K80" s="238"/>
      <c r="L80" s="232">
        <f>C80*2.5</f>
        <v>42.5</v>
      </c>
      <c r="M80" s="400">
        <f>L80+I80</f>
        <v>52.9</v>
      </c>
      <c r="O80" s="237"/>
      <c r="P80" s="238"/>
      <c r="Q80" s="238"/>
      <c r="R80" s="238"/>
      <c r="S80" s="238"/>
      <c r="T80" s="238"/>
      <c r="U80" s="238"/>
      <c r="V80" s="238"/>
      <c r="W80" s="238"/>
      <c r="X80" s="238"/>
      <c r="Y80" s="238"/>
      <c r="Z80" s="238"/>
      <c r="AA80" s="238"/>
      <c r="AB80" s="238"/>
      <c r="AC80" s="238"/>
      <c r="AD80" s="238"/>
      <c r="AE80" s="238"/>
      <c r="AF80" s="238"/>
      <c r="AG80" s="238"/>
      <c r="AH80" s="239"/>
      <c r="AI80" s="238"/>
      <c r="AJ80" s="238"/>
      <c r="AK80" s="239"/>
      <c r="AL80" s="239"/>
    </row>
    <row r="81" spans="1:38" x14ac:dyDescent="0.2">
      <c r="A81" s="262"/>
      <c r="B81" s="263" t="s">
        <v>404</v>
      </c>
      <c r="C81" s="264">
        <v>7</v>
      </c>
      <c r="D81" s="265">
        <v>3</v>
      </c>
      <c r="E81" s="456"/>
      <c r="F81" s="266">
        <f t="shared" si="8"/>
        <v>3</v>
      </c>
      <c r="G81" s="266"/>
      <c r="H81" s="264">
        <f t="shared" si="9"/>
        <v>3</v>
      </c>
      <c r="I81" s="264"/>
      <c r="J81" s="264"/>
      <c r="K81" s="267">
        <f>C81*2.2</f>
        <v>15.400000000000002</v>
      </c>
      <c r="L81" s="268"/>
      <c r="M81" s="268"/>
      <c r="N81" s="269"/>
      <c r="O81" s="270">
        <v>1</v>
      </c>
      <c r="P81" s="267">
        <v>1</v>
      </c>
      <c r="Q81" s="267">
        <v>1</v>
      </c>
      <c r="R81" s="267">
        <v>1</v>
      </c>
      <c r="S81" s="267"/>
      <c r="T81" s="267"/>
      <c r="U81" s="267">
        <v>1</v>
      </c>
      <c r="V81" s="267">
        <v>1</v>
      </c>
      <c r="W81" s="267"/>
      <c r="X81" s="267"/>
      <c r="Y81" s="267">
        <v>1</v>
      </c>
      <c r="Z81" s="267"/>
      <c r="AA81" s="267">
        <v>1</v>
      </c>
      <c r="AB81" s="267">
        <v>2</v>
      </c>
      <c r="AC81" s="267">
        <v>1</v>
      </c>
      <c r="AD81" s="267">
        <v>1</v>
      </c>
      <c r="AE81" s="267">
        <v>1</v>
      </c>
      <c r="AF81" s="267">
        <v>1</v>
      </c>
      <c r="AG81" s="267">
        <v>1</v>
      </c>
      <c r="AH81" s="268">
        <v>1</v>
      </c>
      <c r="AI81" s="267"/>
      <c r="AJ81" s="267"/>
      <c r="AK81" s="268">
        <v>1</v>
      </c>
      <c r="AL81" s="268"/>
    </row>
    <row r="82" spans="1:38" ht="12" thickBot="1" x14ac:dyDescent="0.25">
      <c r="A82" s="251"/>
      <c r="B82" s="252"/>
      <c r="C82" s="253"/>
      <c r="D82" s="254"/>
      <c r="E82" s="455"/>
      <c r="F82" s="255">
        <f>SUM(F63:F81)</f>
        <v>436.88999999999993</v>
      </c>
      <c r="G82" s="255">
        <f t="shared" ref="G82:O82" si="13">SUM(G63:G81)</f>
        <v>10.4</v>
      </c>
      <c r="H82" s="255">
        <f t="shared" si="13"/>
        <v>436.88999999999993</v>
      </c>
      <c r="I82" s="255">
        <f t="shared" si="13"/>
        <v>10.4</v>
      </c>
      <c r="J82" s="255">
        <f t="shared" si="13"/>
        <v>296.16000000000003</v>
      </c>
      <c r="K82" s="255">
        <f t="shared" si="13"/>
        <v>166.98000000000002</v>
      </c>
      <c r="L82" s="256">
        <f t="shared" si="13"/>
        <v>782.9</v>
      </c>
      <c r="M82" s="256">
        <f>SUM(M63:M81)</f>
        <v>793.3</v>
      </c>
      <c r="O82" s="273">
        <f t="shared" si="13"/>
        <v>19</v>
      </c>
      <c r="P82" s="274">
        <f t="shared" ref="P82:AH82" si="14">SUM(P63:P81)</f>
        <v>1</v>
      </c>
      <c r="Q82" s="274">
        <f t="shared" si="14"/>
        <v>9</v>
      </c>
      <c r="R82" s="274">
        <f t="shared" si="14"/>
        <v>11</v>
      </c>
      <c r="S82" s="274">
        <f t="shared" si="14"/>
        <v>8</v>
      </c>
      <c r="T82" s="274">
        <f t="shared" si="14"/>
        <v>8</v>
      </c>
      <c r="U82" s="274">
        <f t="shared" si="14"/>
        <v>1</v>
      </c>
      <c r="V82" s="274">
        <f t="shared" si="14"/>
        <v>1</v>
      </c>
      <c r="W82" s="274">
        <f t="shared" si="14"/>
        <v>0</v>
      </c>
      <c r="X82" s="274">
        <f t="shared" si="14"/>
        <v>1</v>
      </c>
      <c r="Y82" s="274">
        <f t="shared" si="14"/>
        <v>9</v>
      </c>
      <c r="Z82" s="274">
        <f t="shared" si="14"/>
        <v>0</v>
      </c>
      <c r="AA82" s="274">
        <f t="shared" si="14"/>
        <v>8</v>
      </c>
      <c r="AB82" s="274">
        <f t="shared" si="14"/>
        <v>2</v>
      </c>
      <c r="AC82" s="274">
        <f t="shared" si="14"/>
        <v>1</v>
      </c>
      <c r="AD82" s="274">
        <f t="shared" si="14"/>
        <v>10</v>
      </c>
      <c r="AE82" s="274">
        <f t="shared" si="14"/>
        <v>10</v>
      </c>
      <c r="AF82" s="274">
        <f t="shared" si="14"/>
        <v>10</v>
      </c>
      <c r="AG82" s="274">
        <f t="shared" si="14"/>
        <v>9</v>
      </c>
      <c r="AH82" s="275">
        <f t="shared" si="14"/>
        <v>8</v>
      </c>
      <c r="AI82" s="274">
        <f>SUM(AI63:AI81)</f>
        <v>0</v>
      </c>
      <c r="AJ82" s="274">
        <f>SUM(AJ63:AJ81)</f>
        <v>7</v>
      </c>
      <c r="AK82" s="275">
        <f>SUM(AK63:AK81)</f>
        <v>1</v>
      </c>
      <c r="AL82" s="275">
        <f>SUM(AL63:AL81)</f>
        <v>1</v>
      </c>
    </row>
    <row r="83" spans="1:38" s="221" customFormat="1" ht="34.5" thickBot="1" x14ac:dyDescent="0.25">
      <c r="A83" s="217"/>
      <c r="B83" s="218" t="s">
        <v>342</v>
      </c>
      <c r="C83" s="219" t="s">
        <v>344</v>
      </c>
      <c r="D83" s="219" t="s">
        <v>345</v>
      </c>
      <c r="E83" s="220"/>
      <c r="F83" s="323" t="s">
        <v>405</v>
      </c>
      <c r="G83" s="323" t="s">
        <v>406</v>
      </c>
      <c r="H83" s="324" t="s">
        <v>346</v>
      </c>
      <c r="I83" s="325" t="s">
        <v>407</v>
      </c>
      <c r="J83" s="324" t="s">
        <v>347</v>
      </c>
      <c r="K83" s="324" t="s">
        <v>348</v>
      </c>
      <c r="L83" s="595" t="s">
        <v>1028</v>
      </c>
      <c r="M83" s="595" t="s">
        <v>1027</v>
      </c>
      <c r="O83" s="222" t="s">
        <v>430</v>
      </c>
      <c r="P83" s="223" t="s">
        <v>429</v>
      </c>
      <c r="Q83" s="223" t="s">
        <v>411</v>
      </c>
      <c r="R83" s="223" t="s">
        <v>412</v>
      </c>
      <c r="S83" s="223" t="s">
        <v>413</v>
      </c>
      <c r="T83" s="223" t="s">
        <v>415</v>
      </c>
      <c r="U83" s="223" t="s">
        <v>414</v>
      </c>
      <c r="V83" s="223" t="s">
        <v>416</v>
      </c>
      <c r="W83" s="224" t="s">
        <v>417</v>
      </c>
      <c r="X83" s="223" t="s">
        <v>418</v>
      </c>
      <c r="Y83" s="223" t="s">
        <v>419</v>
      </c>
      <c r="Z83" s="223" t="s">
        <v>420</v>
      </c>
      <c r="AA83" s="224" t="s">
        <v>421</v>
      </c>
      <c r="AB83" s="223" t="s">
        <v>422</v>
      </c>
      <c r="AC83" s="223" t="s">
        <v>428</v>
      </c>
      <c r="AD83" s="224" t="s">
        <v>423</v>
      </c>
      <c r="AE83" s="224" t="s">
        <v>424</v>
      </c>
      <c r="AF83" s="223" t="s">
        <v>425</v>
      </c>
      <c r="AG83" s="223" t="s">
        <v>426</v>
      </c>
      <c r="AH83" s="225" t="s">
        <v>427</v>
      </c>
      <c r="AI83" s="223" t="s">
        <v>457</v>
      </c>
      <c r="AJ83" s="223" t="s">
        <v>458</v>
      </c>
      <c r="AK83" s="225" t="s">
        <v>459</v>
      </c>
      <c r="AL83" s="225"/>
    </row>
    <row r="84" spans="1:38" s="221" customFormat="1" ht="15" x14ac:dyDescent="0.25">
      <c r="A84" s="944" t="s">
        <v>410</v>
      </c>
      <c r="B84" s="945"/>
      <c r="C84" s="945"/>
      <c r="D84" s="946"/>
      <c r="E84" s="314"/>
      <c r="F84" s="315"/>
      <c r="G84" s="315"/>
      <c r="H84" s="316"/>
      <c r="I84" s="317"/>
      <c r="J84" s="316"/>
      <c r="K84" s="316"/>
      <c r="L84" s="318"/>
      <c r="M84" s="318"/>
      <c r="O84" s="319"/>
      <c r="P84" s="320"/>
      <c r="Q84" s="320"/>
      <c r="R84" s="320"/>
      <c r="S84" s="320"/>
      <c r="T84" s="320"/>
      <c r="U84" s="320"/>
      <c r="V84" s="320"/>
      <c r="W84" s="321"/>
      <c r="X84" s="320"/>
      <c r="Y84" s="320"/>
      <c r="Z84" s="320"/>
      <c r="AA84" s="321"/>
      <c r="AB84" s="320"/>
      <c r="AC84" s="320"/>
      <c r="AD84" s="321"/>
      <c r="AE84" s="321"/>
      <c r="AF84" s="320"/>
      <c r="AG84" s="320"/>
      <c r="AH84" s="322"/>
      <c r="AI84" s="320"/>
      <c r="AJ84" s="320"/>
      <c r="AK84" s="322"/>
      <c r="AL84" s="322"/>
    </row>
    <row r="85" spans="1:38" x14ac:dyDescent="0.2">
      <c r="A85" s="281"/>
      <c r="B85" s="277" t="s">
        <v>386</v>
      </c>
      <c r="C85" s="278">
        <v>28</v>
      </c>
      <c r="D85" s="279">
        <v>33.5</v>
      </c>
      <c r="F85" s="280">
        <f>D85</f>
        <v>33.5</v>
      </c>
      <c r="G85" s="280"/>
      <c r="H85" s="278">
        <f>D85</f>
        <v>33.5</v>
      </c>
      <c r="I85" s="278"/>
      <c r="J85" s="278">
        <f>C85</f>
        <v>28</v>
      </c>
      <c r="K85" s="231"/>
      <c r="L85" s="232">
        <f t="shared" ref="L85:L90" si="15">C85*2.5</f>
        <v>70</v>
      </c>
      <c r="M85" s="400">
        <f>L85+I85</f>
        <v>70</v>
      </c>
      <c r="O85" s="237"/>
      <c r="P85" s="238"/>
      <c r="Q85" s="238"/>
      <c r="R85" s="238"/>
      <c r="S85" s="238"/>
      <c r="T85" s="238"/>
      <c r="U85" s="238"/>
      <c r="V85" s="238"/>
      <c r="W85" s="238"/>
      <c r="X85" s="238"/>
      <c r="Y85" s="238"/>
      <c r="Z85" s="238"/>
      <c r="AA85" s="238"/>
      <c r="AB85" s="238"/>
      <c r="AC85" s="238"/>
      <c r="AD85" s="238"/>
      <c r="AE85" s="238"/>
      <c r="AF85" s="238"/>
      <c r="AG85" s="238"/>
      <c r="AH85" s="239"/>
      <c r="AI85" s="238"/>
      <c r="AJ85" s="238"/>
      <c r="AK85" s="239"/>
      <c r="AL85" s="239"/>
    </row>
    <row r="86" spans="1:38" x14ac:dyDescent="0.2">
      <c r="A86" s="262">
        <v>2.7</v>
      </c>
      <c r="B86" s="263" t="s">
        <v>387</v>
      </c>
      <c r="C86" s="264">
        <v>7</v>
      </c>
      <c r="D86" s="265">
        <v>3</v>
      </c>
      <c r="E86" s="456"/>
      <c r="F86" s="266">
        <f t="shared" ref="F86:F103" si="16">D86</f>
        <v>3</v>
      </c>
      <c r="G86" s="266"/>
      <c r="H86" s="264">
        <f t="shared" ref="H86:H103" si="17">D86</f>
        <v>3</v>
      </c>
      <c r="I86" s="264"/>
      <c r="J86" s="264"/>
      <c r="K86" s="267">
        <f>C86*2.2</f>
        <v>15.400000000000002</v>
      </c>
      <c r="L86" s="268"/>
      <c r="M86" s="268"/>
      <c r="N86" s="269"/>
      <c r="O86" s="270">
        <v>2</v>
      </c>
      <c r="P86" s="267"/>
      <c r="Q86" s="267">
        <v>1</v>
      </c>
      <c r="R86" s="267">
        <v>1</v>
      </c>
      <c r="S86" s="267">
        <v>1</v>
      </c>
      <c r="T86" s="267">
        <v>1</v>
      </c>
      <c r="U86" s="267"/>
      <c r="V86" s="267"/>
      <c r="W86" s="267"/>
      <c r="X86" s="267"/>
      <c r="Y86" s="267">
        <v>1</v>
      </c>
      <c r="Z86" s="267"/>
      <c r="AA86" s="267">
        <v>1</v>
      </c>
      <c r="AB86" s="267"/>
      <c r="AC86" s="267"/>
      <c r="AD86" s="267">
        <v>1</v>
      </c>
      <c r="AE86" s="267">
        <v>1</v>
      </c>
      <c r="AF86" s="267">
        <v>1</v>
      </c>
      <c r="AG86" s="267">
        <v>1</v>
      </c>
      <c r="AH86" s="268">
        <v>1</v>
      </c>
      <c r="AI86" s="267"/>
      <c r="AJ86" s="267">
        <v>1</v>
      </c>
      <c r="AK86" s="268"/>
      <c r="AL86" s="268"/>
    </row>
    <row r="87" spans="1:38" x14ac:dyDescent="0.2">
      <c r="B87" s="241" t="s">
        <v>388</v>
      </c>
      <c r="C87" s="242">
        <v>15</v>
      </c>
      <c r="D87" s="243">
        <v>12</v>
      </c>
      <c r="F87" s="280">
        <f t="shared" si="16"/>
        <v>12</v>
      </c>
      <c r="G87" s="244"/>
      <c r="H87" s="278">
        <f t="shared" si="17"/>
        <v>12</v>
      </c>
      <c r="I87" s="242"/>
      <c r="J87" s="278">
        <f t="shared" ref="J87:J102" si="18">C87</f>
        <v>15</v>
      </c>
      <c r="K87" s="238"/>
      <c r="L87" s="232">
        <f t="shared" si="15"/>
        <v>37.5</v>
      </c>
      <c r="M87" s="400">
        <f>L87+I87</f>
        <v>37.5</v>
      </c>
      <c r="O87" s="237"/>
      <c r="P87" s="238"/>
      <c r="Q87" s="238"/>
      <c r="R87" s="238"/>
      <c r="S87" s="238"/>
      <c r="T87" s="238"/>
      <c r="U87" s="238"/>
      <c r="V87" s="238"/>
      <c r="W87" s="238"/>
      <c r="X87" s="238"/>
      <c r="Y87" s="238"/>
      <c r="Z87" s="238"/>
      <c r="AA87" s="238"/>
      <c r="AB87" s="238"/>
      <c r="AC87" s="238"/>
      <c r="AD87" s="238"/>
      <c r="AE87" s="238"/>
      <c r="AF87" s="238"/>
      <c r="AG87" s="238"/>
      <c r="AH87" s="239"/>
      <c r="AI87" s="238"/>
      <c r="AJ87" s="238"/>
      <c r="AK87" s="239"/>
      <c r="AL87" s="239"/>
    </row>
    <row r="88" spans="1:38" x14ac:dyDescent="0.2">
      <c r="B88" s="241" t="s">
        <v>389</v>
      </c>
      <c r="C88" s="242">
        <v>26</v>
      </c>
      <c r="D88" s="243">
        <v>40</v>
      </c>
      <c r="F88" s="280">
        <f t="shared" si="16"/>
        <v>40</v>
      </c>
      <c r="G88" s="244"/>
      <c r="H88" s="278">
        <f t="shared" si="17"/>
        <v>40</v>
      </c>
      <c r="I88" s="242"/>
      <c r="J88" s="278">
        <f t="shared" si="18"/>
        <v>26</v>
      </c>
      <c r="K88" s="238"/>
      <c r="L88" s="232">
        <f t="shared" si="15"/>
        <v>65</v>
      </c>
      <c r="M88" s="400">
        <f>L88+I88</f>
        <v>65</v>
      </c>
      <c r="O88" s="237"/>
      <c r="P88" s="238"/>
      <c r="Q88" s="238"/>
      <c r="R88" s="238"/>
      <c r="S88" s="238"/>
      <c r="T88" s="238"/>
      <c r="U88" s="238"/>
      <c r="V88" s="238"/>
      <c r="W88" s="238"/>
      <c r="X88" s="238"/>
      <c r="Y88" s="238"/>
      <c r="Z88" s="238"/>
      <c r="AA88" s="238"/>
      <c r="AB88" s="238"/>
      <c r="AC88" s="238"/>
      <c r="AD88" s="238"/>
      <c r="AE88" s="238"/>
      <c r="AF88" s="238"/>
      <c r="AG88" s="238"/>
      <c r="AH88" s="239"/>
      <c r="AI88" s="238"/>
      <c r="AJ88" s="238"/>
      <c r="AK88" s="239"/>
      <c r="AL88" s="239"/>
    </row>
    <row r="89" spans="1:38" x14ac:dyDescent="0.2">
      <c r="B89" s="241" t="s">
        <v>390</v>
      </c>
      <c r="C89" s="242">
        <v>13.8</v>
      </c>
      <c r="D89" s="243">
        <v>12</v>
      </c>
      <c r="F89" s="280">
        <f t="shared" si="16"/>
        <v>12</v>
      </c>
      <c r="G89" s="244"/>
      <c r="H89" s="278">
        <f t="shared" si="17"/>
        <v>12</v>
      </c>
      <c r="I89" s="242"/>
      <c r="J89" s="278">
        <f t="shared" si="18"/>
        <v>13.8</v>
      </c>
      <c r="K89" s="238"/>
      <c r="L89" s="232">
        <f t="shared" si="15"/>
        <v>34.5</v>
      </c>
      <c r="M89" s="400">
        <f>L89+I89</f>
        <v>34.5</v>
      </c>
      <c r="O89" s="237"/>
      <c r="P89" s="238"/>
      <c r="Q89" s="238"/>
      <c r="R89" s="238"/>
      <c r="S89" s="238"/>
      <c r="T89" s="238"/>
      <c r="U89" s="238"/>
      <c r="V89" s="238"/>
      <c r="W89" s="238"/>
      <c r="X89" s="238"/>
      <c r="Y89" s="238"/>
      <c r="Z89" s="238"/>
      <c r="AA89" s="238"/>
      <c r="AB89" s="238"/>
      <c r="AC89" s="238"/>
      <c r="AD89" s="238"/>
      <c r="AE89" s="238"/>
      <c r="AF89" s="238"/>
      <c r="AG89" s="238"/>
      <c r="AH89" s="239"/>
      <c r="AI89" s="238"/>
      <c r="AJ89" s="238"/>
      <c r="AK89" s="239"/>
      <c r="AL89" s="239"/>
    </row>
    <row r="90" spans="1:38" x14ac:dyDescent="0.2">
      <c r="B90" s="241" t="s">
        <v>391</v>
      </c>
      <c r="C90" s="242">
        <v>76.5</v>
      </c>
      <c r="D90" s="243">
        <v>120</v>
      </c>
      <c r="F90" s="280">
        <f t="shared" si="16"/>
        <v>120</v>
      </c>
      <c r="G90" s="244"/>
      <c r="H90" s="278">
        <f t="shared" si="17"/>
        <v>120</v>
      </c>
      <c r="I90" s="242"/>
      <c r="J90" s="278">
        <f t="shared" si="18"/>
        <v>76.5</v>
      </c>
      <c r="K90" s="238"/>
      <c r="L90" s="232">
        <f t="shared" si="15"/>
        <v>191.25</v>
      </c>
      <c r="M90" s="400">
        <f>L90+I90</f>
        <v>191.25</v>
      </c>
      <c r="O90" s="237"/>
      <c r="P90" s="238"/>
      <c r="Q90" s="238"/>
      <c r="R90" s="238"/>
      <c r="S90" s="238"/>
      <c r="T90" s="238"/>
      <c r="U90" s="238"/>
      <c r="V90" s="238"/>
      <c r="W90" s="238"/>
      <c r="X90" s="238"/>
      <c r="Y90" s="238"/>
      <c r="Z90" s="238"/>
      <c r="AA90" s="238"/>
      <c r="AB90" s="238"/>
      <c r="AC90" s="238"/>
      <c r="AD90" s="238"/>
      <c r="AE90" s="238"/>
      <c r="AF90" s="238"/>
      <c r="AG90" s="238"/>
      <c r="AH90" s="239"/>
      <c r="AI90" s="238"/>
      <c r="AJ90" s="238"/>
      <c r="AK90" s="239"/>
      <c r="AL90" s="239"/>
    </row>
    <row r="91" spans="1:38" x14ac:dyDescent="0.2">
      <c r="A91" s="262"/>
      <c r="B91" s="263" t="s">
        <v>392</v>
      </c>
      <c r="C91" s="264">
        <v>6.9</v>
      </c>
      <c r="D91" s="265">
        <v>3</v>
      </c>
      <c r="E91" s="456"/>
      <c r="F91" s="266">
        <f t="shared" si="16"/>
        <v>3</v>
      </c>
      <c r="G91" s="266"/>
      <c r="H91" s="264">
        <f t="shared" si="17"/>
        <v>3</v>
      </c>
      <c r="I91" s="264"/>
      <c r="J91" s="264"/>
      <c r="K91" s="267">
        <f>C91*2.2</f>
        <v>15.180000000000001</v>
      </c>
      <c r="L91" s="268"/>
      <c r="M91" s="268"/>
      <c r="N91" s="269"/>
      <c r="O91" s="270">
        <v>2</v>
      </c>
      <c r="P91" s="267"/>
      <c r="Q91" s="267">
        <v>1</v>
      </c>
      <c r="R91" s="267">
        <v>1</v>
      </c>
      <c r="S91" s="267">
        <v>1</v>
      </c>
      <c r="T91" s="267">
        <v>1</v>
      </c>
      <c r="U91" s="267"/>
      <c r="V91" s="267"/>
      <c r="W91" s="267"/>
      <c r="X91" s="267"/>
      <c r="Y91" s="267">
        <v>1</v>
      </c>
      <c r="Z91" s="267"/>
      <c r="AA91" s="267">
        <v>1</v>
      </c>
      <c r="AB91" s="267"/>
      <c r="AC91" s="267"/>
      <c r="AD91" s="267">
        <v>1</v>
      </c>
      <c r="AE91" s="267">
        <v>1</v>
      </c>
      <c r="AF91" s="267">
        <v>1</v>
      </c>
      <c r="AG91" s="267">
        <v>1</v>
      </c>
      <c r="AH91" s="268">
        <v>1</v>
      </c>
      <c r="AI91" s="267"/>
      <c r="AJ91" s="267">
        <v>1</v>
      </c>
      <c r="AK91" s="268">
        <v>0</v>
      </c>
      <c r="AL91" s="268"/>
    </row>
    <row r="92" spans="1:38" x14ac:dyDescent="0.2">
      <c r="A92" s="262"/>
      <c r="B92" s="263" t="s">
        <v>393</v>
      </c>
      <c r="C92" s="264">
        <v>6</v>
      </c>
      <c r="D92" s="265">
        <v>2.35</v>
      </c>
      <c r="E92" s="456"/>
      <c r="F92" s="266">
        <f t="shared" si="16"/>
        <v>2.35</v>
      </c>
      <c r="G92" s="266"/>
      <c r="H92" s="264">
        <f t="shared" si="17"/>
        <v>2.35</v>
      </c>
      <c r="I92" s="264"/>
      <c r="J92" s="264"/>
      <c r="K92" s="267">
        <f>C92*2.2</f>
        <v>13.200000000000001</v>
      </c>
      <c r="L92" s="268"/>
      <c r="M92" s="268"/>
      <c r="N92" s="269"/>
      <c r="O92" s="270">
        <v>2</v>
      </c>
      <c r="P92" s="267">
        <v>0</v>
      </c>
      <c r="Q92" s="267">
        <v>1</v>
      </c>
      <c r="R92" s="267">
        <v>1</v>
      </c>
      <c r="S92" s="267">
        <v>1</v>
      </c>
      <c r="T92" s="267">
        <v>1</v>
      </c>
      <c r="U92" s="267">
        <v>0</v>
      </c>
      <c r="V92" s="267">
        <v>0</v>
      </c>
      <c r="W92" s="267"/>
      <c r="X92" s="267"/>
      <c r="Y92" s="267">
        <v>1</v>
      </c>
      <c r="Z92" s="267"/>
      <c r="AA92" s="267">
        <v>1</v>
      </c>
      <c r="AB92" s="267">
        <v>0</v>
      </c>
      <c r="AC92" s="267">
        <v>0</v>
      </c>
      <c r="AD92" s="267">
        <v>1</v>
      </c>
      <c r="AE92" s="267">
        <v>1</v>
      </c>
      <c r="AF92" s="267">
        <v>1</v>
      </c>
      <c r="AG92" s="267">
        <v>1</v>
      </c>
      <c r="AH92" s="268">
        <v>1</v>
      </c>
      <c r="AI92" s="267"/>
      <c r="AJ92" s="267">
        <v>1</v>
      </c>
      <c r="AK92" s="268"/>
      <c r="AL92" s="268"/>
    </row>
    <row r="93" spans="1:38" x14ac:dyDescent="0.2">
      <c r="A93" s="262"/>
      <c r="B93" s="263" t="s">
        <v>394</v>
      </c>
      <c r="C93" s="264">
        <v>15</v>
      </c>
      <c r="D93" s="265">
        <v>12</v>
      </c>
      <c r="E93" s="456"/>
      <c r="F93" s="266">
        <f t="shared" si="16"/>
        <v>12</v>
      </c>
      <c r="G93" s="266"/>
      <c r="H93" s="264">
        <f t="shared" si="17"/>
        <v>12</v>
      </c>
      <c r="I93" s="264"/>
      <c r="J93" s="264"/>
      <c r="K93" s="267">
        <f>(C93*2.2)</f>
        <v>33</v>
      </c>
      <c r="L93" s="268"/>
      <c r="M93" s="268"/>
      <c r="N93" s="269"/>
      <c r="O93" s="270">
        <v>1</v>
      </c>
      <c r="P93" s="267"/>
      <c r="Q93" s="267"/>
      <c r="R93" s="267">
        <v>1</v>
      </c>
      <c r="S93" s="267"/>
      <c r="T93" s="267"/>
      <c r="U93" s="267"/>
      <c r="V93" s="267"/>
      <c r="W93" s="267"/>
      <c r="X93" s="267">
        <v>1</v>
      </c>
      <c r="Y93" s="267"/>
      <c r="Z93" s="267"/>
      <c r="AA93" s="267">
        <v>1</v>
      </c>
      <c r="AB93" s="267"/>
      <c r="AC93" s="267"/>
      <c r="AD93" s="267">
        <v>1</v>
      </c>
      <c r="AE93" s="267">
        <v>1</v>
      </c>
      <c r="AF93" s="267"/>
      <c r="AG93" s="267"/>
      <c r="AH93" s="268">
        <v>1</v>
      </c>
      <c r="AI93" s="267"/>
      <c r="AJ93" s="267">
        <v>1</v>
      </c>
      <c r="AK93" s="268"/>
      <c r="AL93" s="268"/>
    </row>
    <row r="94" spans="1:38" x14ac:dyDescent="0.2">
      <c r="B94" s="241" t="s">
        <v>395</v>
      </c>
      <c r="C94" s="242">
        <v>10.86</v>
      </c>
      <c r="D94" s="243">
        <v>6.64</v>
      </c>
      <c r="F94" s="280">
        <f t="shared" si="16"/>
        <v>6.64</v>
      </c>
      <c r="G94" s="244"/>
      <c r="H94" s="278">
        <f t="shared" si="17"/>
        <v>6.64</v>
      </c>
      <c r="I94" s="242"/>
      <c r="J94" s="278">
        <f t="shared" si="18"/>
        <v>10.86</v>
      </c>
      <c r="K94" s="238"/>
      <c r="L94" s="232">
        <f t="shared" ref="L94:L99" si="19">C94*2.5</f>
        <v>27.15</v>
      </c>
      <c r="M94" s="400">
        <f t="shared" ref="M94:M99" si="20">L94+I94</f>
        <v>27.15</v>
      </c>
      <c r="O94" s="237"/>
      <c r="P94" s="238"/>
      <c r="Q94" s="238"/>
      <c r="R94" s="238"/>
      <c r="S94" s="238"/>
      <c r="T94" s="238"/>
      <c r="U94" s="238"/>
      <c r="V94" s="238"/>
      <c r="W94" s="238"/>
      <c r="X94" s="238"/>
      <c r="Y94" s="238"/>
      <c r="Z94" s="238"/>
      <c r="AA94" s="238"/>
      <c r="AB94" s="238"/>
      <c r="AC94" s="238"/>
      <c r="AD94" s="238"/>
      <c r="AE94" s="238"/>
      <c r="AF94" s="238"/>
      <c r="AG94" s="238"/>
      <c r="AH94" s="239"/>
      <c r="AI94" s="238"/>
      <c r="AJ94" s="238"/>
      <c r="AK94" s="239"/>
      <c r="AL94" s="239"/>
    </row>
    <row r="95" spans="1:38" x14ac:dyDescent="0.2">
      <c r="B95" s="241" t="s">
        <v>396</v>
      </c>
      <c r="C95" s="242">
        <v>14</v>
      </c>
      <c r="D95" s="243">
        <v>12.6</v>
      </c>
      <c r="F95" s="280">
        <f t="shared" si="16"/>
        <v>12.6</v>
      </c>
      <c r="G95" s="244"/>
      <c r="H95" s="278">
        <f t="shared" si="17"/>
        <v>12.6</v>
      </c>
      <c r="I95" s="242"/>
      <c r="J95" s="278">
        <f t="shared" si="18"/>
        <v>14</v>
      </c>
      <c r="K95" s="238"/>
      <c r="L95" s="232">
        <f t="shared" si="19"/>
        <v>35</v>
      </c>
      <c r="M95" s="400">
        <f t="shared" si="20"/>
        <v>35</v>
      </c>
      <c r="O95" s="237"/>
      <c r="P95" s="238"/>
      <c r="Q95" s="238"/>
      <c r="R95" s="238"/>
      <c r="S95" s="238"/>
      <c r="T95" s="238"/>
      <c r="U95" s="238"/>
      <c r="V95" s="238"/>
      <c r="W95" s="238"/>
      <c r="X95" s="238"/>
      <c r="Y95" s="238"/>
      <c r="Z95" s="238"/>
      <c r="AA95" s="238"/>
      <c r="AB95" s="238"/>
      <c r="AC95" s="238"/>
      <c r="AD95" s="238"/>
      <c r="AE95" s="238"/>
      <c r="AF95" s="238"/>
      <c r="AG95" s="238"/>
      <c r="AH95" s="239"/>
      <c r="AI95" s="238"/>
      <c r="AJ95" s="238"/>
      <c r="AK95" s="239"/>
      <c r="AL95" s="239"/>
    </row>
    <row r="96" spans="1:38" x14ac:dyDescent="0.2">
      <c r="B96" s="241" t="s">
        <v>397</v>
      </c>
      <c r="C96" s="242">
        <v>25</v>
      </c>
      <c r="D96" s="243">
        <v>31</v>
      </c>
      <c r="F96" s="280">
        <f t="shared" si="16"/>
        <v>31</v>
      </c>
      <c r="G96" s="244"/>
      <c r="H96" s="278">
        <f t="shared" si="17"/>
        <v>31</v>
      </c>
      <c r="I96" s="242"/>
      <c r="J96" s="278">
        <f t="shared" si="18"/>
        <v>25</v>
      </c>
      <c r="K96" s="238"/>
      <c r="L96" s="232">
        <f t="shared" si="19"/>
        <v>62.5</v>
      </c>
      <c r="M96" s="400">
        <f t="shared" si="20"/>
        <v>62.5</v>
      </c>
      <c r="O96" s="237"/>
      <c r="P96" s="238"/>
      <c r="Q96" s="238"/>
      <c r="R96" s="238"/>
      <c r="S96" s="238"/>
      <c r="T96" s="238"/>
      <c r="U96" s="238"/>
      <c r="V96" s="238"/>
      <c r="W96" s="238"/>
      <c r="X96" s="238"/>
      <c r="Y96" s="238"/>
      <c r="Z96" s="238"/>
      <c r="AA96" s="238"/>
      <c r="AB96" s="238"/>
      <c r="AC96" s="238"/>
      <c r="AD96" s="238"/>
      <c r="AE96" s="238"/>
      <c r="AF96" s="238"/>
      <c r="AG96" s="238"/>
      <c r="AH96" s="239"/>
      <c r="AI96" s="238"/>
      <c r="AJ96" s="238"/>
      <c r="AK96" s="239"/>
      <c r="AL96" s="239"/>
    </row>
    <row r="97" spans="1:38" x14ac:dyDescent="0.2">
      <c r="A97" s="262"/>
      <c r="B97" s="263" t="s">
        <v>398</v>
      </c>
      <c r="C97" s="264">
        <v>7</v>
      </c>
      <c r="D97" s="265">
        <v>3</v>
      </c>
      <c r="E97" s="456"/>
      <c r="F97" s="266">
        <f t="shared" si="16"/>
        <v>3</v>
      </c>
      <c r="G97" s="266"/>
      <c r="H97" s="264">
        <f t="shared" si="17"/>
        <v>3</v>
      </c>
      <c r="I97" s="264"/>
      <c r="J97" s="264"/>
      <c r="K97" s="267">
        <f>C97*2.2</f>
        <v>15.400000000000002</v>
      </c>
      <c r="L97" s="268"/>
      <c r="M97" s="268"/>
      <c r="N97" s="269"/>
      <c r="O97" s="270">
        <v>2</v>
      </c>
      <c r="P97" s="267"/>
      <c r="Q97" s="267">
        <v>1</v>
      </c>
      <c r="R97" s="267">
        <v>1</v>
      </c>
      <c r="S97" s="267">
        <v>1</v>
      </c>
      <c r="T97" s="267">
        <v>1</v>
      </c>
      <c r="U97" s="267"/>
      <c r="V97" s="267"/>
      <c r="W97" s="267"/>
      <c r="X97" s="267"/>
      <c r="Y97" s="267">
        <v>1</v>
      </c>
      <c r="Z97" s="267"/>
      <c r="AA97" s="267">
        <v>1</v>
      </c>
      <c r="AB97" s="267"/>
      <c r="AC97" s="267"/>
      <c r="AD97" s="267">
        <v>1</v>
      </c>
      <c r="AE97" s="267">
        <v>1</v>
      </c>
      <c r="AF97" s="267">
        <v>1</v>
      </c>
      <c r="AG97" s="267">
        <v>1</v>
      </c>
      <c r="AH97" s="268">
        <v>1</v>
      </c>
      <c r="AI97" s="267"/>
      <c r="AJ97" s="267">
        <v>1</v>
      </c>
      <c r="AK97" s="268"/>
      <c r="AL97" s="268"/>
    </row>
    <row r="98" spans="1:38" x14ac:dyDescent="0.2">
      <c r="B98" s="241" t="s">
        <v>399</v>
      </c>
      <c r="C98" s="242">
        <v>28</v>
      </c>
      <c r="D98" s="243">
        <v>36</v>
      </c>
      <c r="F98" s="280">
        <f t="shared" si="16"/>
        <v>36</v>
      </c>
      <c r="G98" s="244"/>
      <c r="H98" s="278">
        <f t="shared" si="17"/>
        <v>36</v>
      </c>
      <c r="I98" s="242"/>
      <c r="J98" s="278">
        <f t="shared" si="18"/>
        <v>28</v>
      </c>
      <c r="K98" s="238"/>
      <c r="L98" s="232">
        <f t="shared" si="19"/>
        <v>70</v>
      </c>
      <c r="M98" s="400">
        <f t="shared" si="20"/>
        <v>70</v>
      </c>
      <c r="O98" s="237"/>
      <c r="P98" s="238"/>
      <c r="Q98" s="238"/>
      <c r="R98" s="238"/>
      <c r="S98" s="238"/>
      <c r="T98" s="238"/>
      <c r="U98" s="238"/>
      <c r="V98" s="238"/>
      <c r="W98" s="238"/>
      <c r="X98" s="238"/>
      <c r="Y98" s="238"/>
      <c r="Z98" s="238"/>
      <c r="AA98" s="238"/>
      <c r="AB98" s="238"/>
      <c r="AC98" s="238"/>
      <c r="AD98" s="238"/>
      <c r="AE98" s="238"/>
      <c r="AF98" s="238"/>
      <c r="AG98" s="238"/>
      <c r="AH98" s="239"/>
      <c r="AI98" s="238"/>
      <c r="AJ98" s="238"/>
      <c r="AK98" s="239"/>
      <c r="AL98" s="239"/>
    </row>
    <row r="99" spans="1:38" x14ac:dyDescent="0.2">
      <c r="B99" s="241" t="s">
        <v>400</v>
      </c>
      <c r="C99" s="242">
        <v>66</v>
      </c>
      <c r="D99" s="243">
        <v>80</v>
      </c>
      <c r="F99" s="280">
        <f t="shared" si="16"/>
        <v>80</v>
      </c>
      <c r="G99" s="244"/>
      <c r="H99" s="278">
        <f t="shared" si="17"/>
        <v>80</v>
      </c>
      <c r="I99" s="242"/>
      <c r="J99" s="278">
        <f t="shared" si="18"/>
        <v>66</v>
      </c>
      <c r="K99" s="238"/>
      <c r="L99" s="232">
        <f t="shared" si="19"/>
        <v>165</v>
      </c>
      <c r="M99" s="400">
        <f t="shared" si="20"/>
        <v>165</v>
      </c>
      <c r="O99" s="237"/>
      <c r="P99" s="238"/>
      <c r="Q99" s="238"/>
      <c r="R99" s="238"/>
      <c r="S99" s="238"/>
      <c r="T99" s="238"/>
      <c r="U99" s="238"/>
      <c r="V99" s="238"/>
      <c r="W99" s="238"/>
      <c r="X99" s="238"/>
      <c r="Y99" s="238"/>
      <c r="Z99" s="238"/>
      <c r="AA99" s="238"/>
      <c r="AB99" s="238"/>
      <c r="AC99" s="238"/>
      <c r="AD99" s="238"/>
      <c r="AE99" s="238"/>
      <c r="AF99" s="238"/>
      <c r="AG99" s="238"/>
      <c r="AH99" s="239"/>
      <c r="AI99" s="238"/>
      <c r="AJ99" s="238"/>
      <c r="AK99" s="239"/>
      <c r="AL99" s="239"/>
    </row>
    <row r="100" spans="1:38" x14ac:dyDescent="0.2">
      <c r="A100" s="262"/>
      <c r="B100" s="263" t="s">
        <v>401</v>
      </c>
      <c r="C100" s="264">
        <v>18</v>
      </c>
      <c r="D100" s="265">
        <v>9.3000000000000007</v>
      </c>
      <c r="E100" s="456"/>
      <c r="F100" s="266">
        <f t="shared" si="16"/>
        <v>9.3000000000000007</v>
      </c>
      <c r="G100" s="266"/>
      <c r="H100" s="264">
        <f t="shared" si="17"/>
        <v>9.3000000000000007</v>
      </c>
      <c r="I100" s="264"/>
      <c r="J100" s="264"/>
      <c r="K100" s="267">
        <f>C100*2.2</f>
        <v>39.6</v>
      </c>
      <c r="L100" s="268"/>
      <c r="M100" s="268"/>
      <c r="N100" s="580" t="s">
        <v>898</v>
      </c>
      <c r="O100" s="578">
        <v>5</v>
      </c>
      <c r="P100" s="267"/>
      <c r="Q100" s="267">
        <v>2</v>
      </c>
      <c r="R100" s="578">
        <v>3</v>
      </c>
      <c r="S100" s="267">
        <v>2</v>
      </c>
      <c r="T100" s="267">
        <v>2</v>
      </c>
      <c r="U100" s="267"/>
      <c r="V100" s="267"/>
      <c r="W100" s="267"/>
      <c r="X100" s="267"/>
      <c r="Y100" s="267">
        <v>2</v>
      </c>
      <c r="Z100" s="267"/>
      <c r="AA100" s="267">
        <v>1</v>
      </c>
      <c r="AB100" s="267"/>
      <c r="AC100" s="267"/>
      <c r="AD100" s="267">
        <v>2</v>
      </c>
      <c r="AE100" s="267">
        <v>2</v>
      </c>
      <c r="AF100" s="267">
        <v>2</v>
      </c>
      <c r="AG100" s="267">
        <v>2</v>
      </c>
      <c r="AH100" s="268">
        <v>1</v>
      </c>
      <c r="AI100" s="267"/>
      <c r="AJ100" s="267">
        <v>1</v>
      </c>
      <c r="AK100" s="268"/>
      <c r="AL100" s="268"/>
    </row>
    <row r="101" spans="1:38" x14ac:dyDescent="0.2">
      <c r="A101" s="262"/>
      <c r="B101" s="263" t="s">
        <v>402</v>
      </c>
      <c r="C101" s="264">
        <v>18</v>
      </c>
      <c r="D101" s="265">
        <v>9.3000000000000007</v>
      </c>
      <c r="E101" s="456"/>
      <c r="F101" s="266">
        <f t="shared" si="16"/>
        <v>9.3000000000000007</v>
      </c>
      <c r="G101" s="266"/>
      <c r="H101" s="264">
        <f t="shared" si="17"/>
        <v>9.3000000000000007</v>
      </c>
      <c r="I101" s="264"/>
      <c r="J101" s="264"/>
      <c r="K101" s="267">
        <f>C101*2.2</f>
        <v>39.6</v>
      </c>
      <c r="L101" s="268"/>
      <c r="M101" s="268"/>
      <c r="N101" s="269"/>
      <c r="O101" s="270">
        <v>4</v>
      </c>
      <c r="P101" s="267"/>
      <c r="Q101" s="267">
        <v>2</v>
      </c>
      <c r="R101" s="267">
        <v>2</v>
      </c>
      <c r="S101" s="267">
        <v>2</v>
      </c>
      <c r="T101" s="267">
        <v>2</v>
      </c>
      <c r="U101" s="267"/>
      <c r="V101" s="267"/>
      <c r="W101" s="267"/>
      <c r="X101" s="267"/>
      <c r="Y101" s="267">
        <v>2</v>
      </c>
      <c r="Z101" s="267"/>
      <c r="AA101" s="267">
        <v>1</v>
      </c>
      <c r="AB101" s="267"/>
      <c r="AC101" s="267"/>
      <c r="AD101" s="267">
        <v>2</v>
      </c>
      <c r="AE101" s="267">
        <v>2</v>
      </c>
      <c r="AF101" s="267">
        <v>2</v>
      </c>
      <c r="AG101" s="267">
        <v>2</v>
      </c>
      <c r="AH101" s="268">
        <v>1</v>
      </c>
      <c r="AI101" s="267"/>
      <c r="AJ101" s="267">
        <v>1</v>
      </c>
      <c r="AK101" s="268"/>
      <c r="AL101" s="268">
        <v>1</v>
      </c>
    </row>
    <row r="102" spans="1:38" x14ac:dyDescent="0.2">
      <c r="B102" s="241" t="s">
        <v>403</v>
      </c>
      <c r="C102" s="242">
        <v>17</v>
      </c>
      <c r="D102" s="243">
        <v>20</v>
      </c>
      <c r="F102" s="280"/>
      <c r="G102" s="244">
        <f>D102</f>
        <v>20</v>
      </c>
      <c r="H102" s="278"/>
      <c r="I102" s="242">
        <f>D102</f>
        <v>20</v>
      </c>
      <c r="J102" s="278">
        <f t="shared" si="18"/>
        <v>17</v>
      </c>
      <c r="K102" s="238"/>
      <c r="L102" s="232">
        <f>C102*2.5</f>
        <v>42.5</v>
      </c>
      <c r="M102" s="400">
        <f>L102+I102</f>
        <v>62.5</v>
      </c>
      <c r="O102" s="237"/>
      <c r="P102" s="238"/>
      <c r="Q102" s="238"/>
      <c r="R102" s="238"/>
      <c r="S102" s="238"/>
      <c r="T102" s="238"/>
      <c r="U102" s="238"/>
      <c r="V102" s="238"/>
      <c r="W102" s="238"/>
      <c r="X102" s="238"/>
      <c r="Y102" s="238"/>
      <c r="Z102" s="238"/>
      <c r="AA102" s="238"/>
      <c r="AB102" s="238"/>
      <c r="AC102" s="238"/>
      <c r="AD102" s="238"/>
      <c r="AE102" s="238"/>
      <c r="AF102" s="238"/>
      <c r="AG102" s="238"/>
      <c r="AH102" s="239"/>
      <c r="AI102" s="238"/>
      <c r="AJ102" s="238"/>
      <c r="AK102" s="239"/>
      <c r="AL102" s="239"/>
    </row>
    <row r="103" spans="1:38" x14ac:dyDescent="0.2">
      <c r="A103" s="262"/>
      <c r="B103" s="263" t="s">
        <v>404</v>
      </c>
      <c r="C103" s="264">
        <v>6.62</v>
      </c>
      <c r="D103" s="265">
        <v>3</v>
      </c>
      <c r="E103" s="456"/>
      <c r="F103" s="266">
        <f t="shared" si="16"/>
        <v>3</v>
      </c>
      <c r="G103" s="266"/>
      <c r="H103" s="264">
        <f t="shared" si="17"/>
        <v>3</v>
      </c>
      <c r="I103" s="264"/>
      <c r="J103" s="264"/>
      <c r="K103" s="267">
        <f>C103*2.2</f>
        <v>14.564000000000002</v>
      </c>
      <c r="L103" s="268"/>
      <c r="M103" s="268"/>
      <c r="N103" s="269"/>
      <c r="O103" s="270">
        <v>1</v>
      </c>
      <c r="P103" s="267">
        <v>1</v>
      </c>
      <c r="Q103" s="267">
        <v>1</v>
      </c>
      <c r="R103" s="267">
        <v>1</v>
      </c>
      <c r="S103" s="267"/>
      <c r="T103" s="267"/>
      <c r="U103" s="267">
        <v>1</v>
      </c>
      <c r="V103" s="267">
        <v>1</v>
      </c>
      <c r="W103" s="267"/>
      <c r="X103" s="267"/>
      <c r="Y103" s="267">
        <v>1</v>
      </c>
      <c r="Z103" s="267"/>
      <c r="AA103" s="267">
        <v>1</v>
      </c>
      <c r="AB103" s="267">
        <v>2</v>
      </c>
      <c r="AC103" s="267">
        <v>1</v>
      </c>
      <c r="AD103" s="267">
        <v>1</v>
      </c>
      <c r="AE103" s="267">
        <v>1</v>
      </c>
      <c r="AF103" s="267">
        <v>1</v>
      </c>
      <c r="AG103" s="267">
        <v>1</v>
      </c>
      <c r="AH103" s="268">
        <v>1</v>
      </c>
      <c r="AI103" s="267"/>
      <c r="AJ103" s="267"/>
      <c r="AK103" s="268">
        <v>1</v>
      </c>
      <c r="AL103" s="268"/>
    </row>
    <row r="104" spans="1:38" ht="12" thickBot="1" x14ac:dyDescent="0.25">
      <c r="A104" s="251"/>
      <c r="B104" s="252"/>
      <c r="C104" s="253"/>
      <c r="D104" s="254"/>
      <c r="E104" s="455"/>
      <c r="F104" s="255">
        <f>SUM(F85:F103)</f>
        <v>428.69</v>
      </c>
      <c r="G104" s="255">
        <f t="shared" ref="G104:O104" si="21">SUM(G85:G103)</f>
        <v>20</v>
      </c>
      <c r="H104" s="255">
        <f t="shared" si="21"/>
        <v>428.69</v>
      </c>
      <c r="I104" s="255">
        <f t="shared" si="21"/>
        <v>20</v>
      </c>
      <c r="J104" s="255">
        <f t="shared" si="21"/>
        <v>320.16000000000003</v>
      </c>
      <c r="K104" s="255">
        <f t="shared" si="21"/>
        <v>185.94399999999999</v>
      </c>
      <c r="L104" s="256">
        <f t="shared" si="21"/>
        <v>800.4</v>
      </c>
      <c r="M104" s="256">
        <f>SUM(M85:M103)</f>
        <v>820.4</v>
      </c>
      <c r="O104" s="273">
        <f t="shared" si="21"/>
        <v>19</v>
      </c>
      <c r="P104" s="274">
        <f t="shared" ref="P104:AH104" si="22">SUM(P85:P103)</f>
        <v>1</v>
      </c>
      <c r="Q104" s="274">
        <f t="shared" si="22"/>
        <v>9</v>
      </c>
      <c r="R104" s="274">
        <f t="shared" si="22"/>
        <v>11</v>
      </c>
      <c r="S104" s="274">
        <f t="shared" si="22"/>
        <v>8</v>
      </c>
      <c r="T104" s="274">
        <f t="shared" si="22"/>
        <v>8</v>
      </c>
      <c r="U104" s="274">
        <f t="shared" si="22"/>
        <v>1</v>
      </c>
      <c r="V104" s="274">
        <f t="shared" si="22"/>
        <v>1</v>
      </c>
      <c r="W104" s="274">
        <f t="shared" si="22"/>
        <v>0</v>
      </c>
      <c r="X104" s="274">
        <f t="shared" si="22"/>
        <v>1</v>
      </c>
      <c r="Y104" s="274">
        <f t="shared" si="22"/>
        <v>9</v>
      </c>
      <c r="Z104" s="274">
        <f t="shared" si="22"/>
        <v>0</v>
      </c>
      <c r="AA104" s="274">
        <f t="shared" si="22"/>
        <v>8</v>
      </c>
      <c r="AB104" s="274">
        <f t="shared" si="22"/>
        <v>2</v>
      </c>
      <c r="AC104" s="274">
        <f t="shared" si="22"/>
        <v>1</v>
      </c>
      <c r="AD104" s="274">
        <f t="shared" si="22"/>
        <v>10</v>
      </c>
      <c r="AE104" s="274">
        <f t="shared" si="22"/>
        <v>10</v>
      </c>
      <c r="AF104" s="274">
        <f t="shared" si="22"/>
        <v>9</v>
      </c>
      <c r="AG104" s="274">
        <f t="shared" si="22"/>
        <v>9</v>
      </c>
      <c r="AH104" s="275">
        <f t="shared" si="22"/>
        <v>8</v>
      </c>
      <c r="AI104" s="274">
        <f>SUM(AI85:AI103)</f>
        <v>0</v>
      </c>
      <c r="AJ104" s="274">
        <f>SUM(AJ85:AJ103)</f>
        <v>7</v>
      </c>
      <c r="AK104" s="275">
        <f>SUM(AK85:AK103)</f>
        <v>1</v>
      </c>
      <c r="AL104" s="275">
        <f>SUM(AL85:AL103)</f>
        <v>1</v>
      </c>
    </row>
    <row r="106" spans="1:38" ht="15" x14ac:dyDescent="0.25">
      <c r="A106" s="909" t="s">
        <v>486</v>
      </c>
      <c r="B106" s="910"/>
      <c r="C106" s="910"/>
      <c r="D106" s="911"/>
      <c r="F106" s="909" t="s">
        <v>524</v>
      </c>
      <c r="G106" s="910"/>
      <c r="H106" s="910"/>
      <c r="I106" s="911"/>
      <c r="K106" s="909" t="s">
        <v>532</v>
      </c>
      <c r="L106" s="910"/>
      <c r="M106" s="910"/>
      <c r="N106" s="911"/>
    </row>
    <row r="107" spans="1:38" x14ac:dyDescent="0.2">
      <c r="A107" s="283"/>
      <c r="B107" s="213" t="s">
        <v>350</v>
      </c>
      <c r="C107" s="213" t="s">
        <v>351</v>
      </c>
      <c r="D107" s="214" t="s">
        <v>485</v>
      </c>
      <c r="F107" s="283"/>
      <c r="G107" s="213" t="s">
        <v>350</v>
      </c>
      <c r="H107" s="213" t="s">
        <v>525</v>
      </c>
      <c r="I107" s="214" t="s">
        <v>485</v>
      </c>
      <c r="K107" s="283"/>
      <c r="L107" s="213" t="s">
        <v>350</v>
      </c>
      <c r="M107" s="213" t="s">
        <v>274</v>
      </c>
      <c r="N107" s="214" t="s">
        <v>314</v>
      </c>
    </row>
    <row r="108" spans="1:38" ht="18.75" x14ac:dyDescent="0.2">
      <c r="A108" s="437" t="s">
        <v>1035</v>
      </c>
      <c r="B108" s="238"/>
      <c r="C108" s="238"/>
      <c r="D108" s="284">
        <v>177.25</v>
      </c>
      <c r="F108" s="283" t="s">
        <v>526</v>
      </c>
      <c r="G108" s="238">
        <v>1.48</v>
      </c>
      <c r="H108" s="238">
        <v>3.2</v>
      </c>
      <c r="I108" s="284">
        <f>G108*H108</f>
        <v>4.7359999999999998</v>
      </c>
      <c r="K108" s="437" t="s">
        <v>533</v>
      </c>
      <c r="L108" s="238">
        <f>1.48-0.1</f>
        <v>1.38</v>
      </c>
      <c r="M108" s="238">
        <f>18*2</f>
        <v>36</v>
      </c>
      <c r="N108" s="438">
        <f>L108*M108</f>
        <v>49.679999999999993</v>
      </c>
    </row>
    <row r="109" spans="1:38" ht="18.75" x14ac:dyDescent="0.2">
      <c r="A109" s="437" t="s">
        <v>1036</v>
      </c>
      <c r="B109" s="238"/>
      <c r="C109" s="238"/>
      <c r="D109" s="284">
        <v>505</v>
      </c>
      <c r="F109" s="283" t="s">
        <v>530</v>
      </c>
      <c r="G109" s="238">
        <v>1.48</v>
      </c>
      <c r="H109" s="238">
        <v>0.2</v>
      </c>
      <c r="I109" s="284">
        <f>G109*H109*7</f>
        <v>2.0720000000000001</v>
      </c>
      <c r="K109" s="437" t="s">
        <v>534</v>
      </c>
      <c r="L109" s="238">
        <f>1.38-0.1</f>
        <v>1.2799999999999998</v>
      </c>
      <c r="M109" s="238">
        <f>18*2</f>
        <v>36</v>
      </c>
      <c r="N109" s="438">
        <f>L109*M109</f>
        <v>46.079999999999991</v>
      </c>
    </row>
    <row r="110" spans="1:38" ht="36.75" x14ac:dyDescent="0.2">
      <c r="A110" s="437" t="s">
        <v>1037</v>
      </c>
      <c r="B110" s="238"/>
      <c r="C110" s="238"/>
      <c r="D110" s="284">
        <v>350</v>
      </c>
      <c r="F110" s="283"/>
      <c r="G110" s="238"/>
      <c r="H110" s="238"/>
      <c r="I110" s="284"/>
      <c r="K110" s="437" t="s">
        <v>535</v>
      </c>
      <c r="L110" s="238">
        <f>1.62-0.1</f>
        <v>1.52</v>
      </c>
      <c r="M110" s="238">
        <f>20*2</f>
        <v>40</v>
      </c>
      <c r="N110" s="438">
        <f>L110*M110</f>
        <v>60.8</v>
      </c>
    </row>
    <row r="111" spans="1:38" ht="18.75" x14ac:dyDescent="0.2">
      <c r="A111" s="599" t="s">
        <v>1034</v>
      </c>
      <c r="B111" s="290"/>
      <c r="C111" s="290"/>
      <c r="D111" s="287">
        <v>240</v>
      </c>
      <c r="F111" s="289"/>
      <c r="G111" s="290"/>
      <c r="H111" s="290"/>
      <c r="I111" s="287"/>
      <c r="K111" s="289"/>
      <c r="L111" s="290"/>
      <c r="M111" s="290"/>
      <c r="N111" s="287"/>
    </row>
    <row r="112" spans="1:38" ht="15" x14ac:dyDescent="0.25">
      <c r="A112" s="947" t="s">
        <v>332</v>
      </c>
      <c r="B112" s="919"/>
      <c r="C112" s="920"/>
      <c r="D112" s="401">
        <f>SUM(D108:D111)</f>
        <v>1272.25</v>
      </c>
      <c r="F112" s="947" t="s">
        <v>332</v>
      </c>
      <c r="G112" s="919"/>
      <c r="H112" s="920"/>
      <c r="I112" s="401">
        <f>SUM(I108:I111)</f>
        <v>6.8079999999999998</v>
      </c>
      <c r="K112" s="947" t="s">
        <v>332</v>
      </c>
      <c r="L112" s="919"/>
      <c r="M112" s="920"/>
      <c r="N112" s="401">
        <f>SUM(N108:N111)</f>
        <v>156.56</v>
      </c>
    </row>
    <row r="114" spans="1:14" ht="15" x14ac:dyDescent="0.25">
      <c r="A114" s="909" t="s">
        <v>489</v>
      </c>
      <c r="B114" s="910"/>
      <c r="C114" s="910"/>
      <c r="D114" s="911"/>
      <c r="F114" s="909" t="s">
        <v>527</v>
      </c>
      <c r="G114" s="910"/>
      <c r="H114" s="910"/>
      <c r="I114" s="911"/>
      <c r="K114" s="909" t="s">
        <v>537</v>
      </c>
      <c r="L114" s="910"/>
      <c r="M114" s="910"/>
      <c r="N114" s="911"/>
    </row>
    <row r="115" spans="1:14" x14ac:dyDescent="0.2">
      <c r="A115" s="283"/>
      <c r="B115" s="213" t="s">
        <v>350</v>
      </c>
      <c r="C115" s="213" t="s">
        <v>351</v>
      </c>
      <c r="D115" s="214" t="s">
        <v>485</v>
      </c>
      <c r="F115" s="283"/>
      <c r="G115" s="213" t="s">
        <v>350</v>
      </c>
      <c r="H115" s="213" t="s">
        <v>525</v>
      </c>
      <c r="I115" s="214" t="s">
        <v>485</v>
      </c>
      <c r="K115" s="283"/>
      <c r="L115" s="213" t="s">
        <v>107</v>
      </c>
      <c r="M115" s="213" t="s">
        <v>525</v>
      </c>
      <c r="N115" s="214" t="s">
        <v>314</v>
      </c>
    </row>
    <row r="116" spans="1:14" ht="18.75" x14ac:dyDescent="0.2">
      <c r="A116" s="283" t="s">
        <v>490</v>
      </c>
      <c r="B116" s="238">
        <v>32</v>
      </c>
      <c r="C116" s="238">
        <v>5.5</v>
      </c>
      <c r="D116" s="284">
        <f>B116*C116</f>
        <v>176</v>
      </c>
      <c r="F116" s="283" t="s">
        <v>528</v>
      </c>
      <c r="G116" s="238"/>
      <c r="H116" s="238"/>
      <c r="I116" s="284">
        <f>I112</f>
        <v>6.8079999999999998</v>
      </c>
      <c r="K116" s="437" t="s">
        <v>533</v>
      </c>
      <c r="L116" s="238">
        <v>2</v>
      </c>
      <c r="M116" s="238">
        <v>8.3000000000000007</v>
      </c>
      <c r="N116" s="438">
        <f>L116*M116</f>
        <v>16.600000000000001</v>
      </c>
    </row>
    <row r="117" spans="1:14" ht="33.75" x14ac:dyDescent="0.2">
      <c r="A117" s="283" t="s">
        <v>491</v>
      </c>
      <c r="B117" s="238">
        <f>16+1.5</f>
        <v>17.5</v>
      </c>
      <c r="C117" s="238">
        <v>5.5</v>
      </c>
      <c r="D117" s="284">
        <f>B117*C117</f>
        <v>96.25</v>
      </c>
      <c r="F117" s="297" t="s">
        <v>529</v>
      </c>
      <c r="G117" s="238">
        <v>1.48</v>
      </c>
      <c r="H117" s="238">
        <v>3.3</v>
      </c>
      <c r="I117" s="284">
        <f>G117*H117</f>
        <v>4.8839999999999995</v>
      </c>
      <c r="K117" s="437" t="s">
        <v>534</v>
      </c>
      <c r="L117" s="238">
        <v>2</v>
      </c>
      <c r="M117" s="238">
        <v>11.06</v>
      </c>
      <c r="N117" s="438">
        <f>L117*M117</f>
        <v>22.12</v>
      </c>
    </row>
    <row r="118" spans="1:14" ht="37.5" x14ac:dyDescent="0.25">
      <c r="A118" s="947" t="s">
        <v>332</v>
      </c>
      <c r="B118" s="919"/>
      <c r="C118" s="920"/>
      <c r="D118" s="401">
        <f>SUM(D116:D117)</f>
        <v>272.25</v>
      </c>
      <c r="F118" s="297" t="s">
        <v>531</v>
      </c>
      <c r="G118" s="238">
        <v>1.48</v>
      </c>
      <c r="H118" s="238">
        <v>0.18</v>
      </c>
      <c r="I118" s="284">
        <f>G118*H118*11</f>
        <v>2.9303999999999997</v>
      </c>
      <c r="K118" s="437" t="s">
        <v>535</v>
      </c>
      <c r="L118" s="238">
        <v>2</v>
      </c>
      <c r="M118" s="238">
        <v>14</v>
      </c>
      <c r="N118" s="438">
        <f>L118*M118</f>
        <v>28</v>
      </c>
    </row>
    <row r="119" spans="1:14" x14ac:dyDescent="0.2">
      <c r="F119" s="289"/>
      <c r="G119" s="290"/>
      <c r="H119" s="290"/>
      <c r="I119" s="287"/>
      <c r="K119" s="289"/>
      <c r="L119" s="290"/>
      <c r="M119" s="290"/>
      <c r="N119" s="287"/>
    </row>
    <row r="120" spans="1:14" ht="15" x14ac:dyDescent="0.25">
      <c r="A120" s="909" t="s">
        <v>297</v>
      </c>
      <c r="B120" s="910"/>
      <c r="C120" s="910"/>
      <c r="D120" s="911"/>
      <c r="F120" s="947" t="s">
        <v>332</v>
      </c>
      <c r="G120" s="919"/>
      <c r="H120" s="920"/>
      <c r="I120" s="401">
        <f>SUM(I116:I119)</f>
        <v>14.622399999999999</v>
      </c>
      <c r="K120" s="947" t="s">
        <v>332</v>
      </c>
      <c r="L120" s="919"/>
      <c r="M120" s="920"/>
      <c r="N120" s="401">
        <f>SUM(N116:N119)</f>
        <v>66.72</v>
      </c>
    </row>
    <row r="121" spans="1:14" x14ac:dyDescent="0.2">
      <c r="A121" s="283"/>
      <c r="B121" s="213"/>
      <c r="C121" s="213"/>
      <c r="D121" s="214" t="s">
        <v>485</v>
      </c>
    </row>
    <row r="122" spans="1:14" ht="15" x14ac:dyDescent="0.25">
      <c r="A122" s="912" t="s">
        <v>44</v>
      </c>
      <c r="B122" s="913"/>
      <c r="C122" s="914"/>
      <c r="D122" s="214">
        <v>5</v>
      </c>
    </row>
    <row r="123" spans="1:14" ht="15" x14ac:dyDescent="0.25">
      <c r="A123" s="912" t="s">
        <v>514</v>
      </c>
      <c r="B123" s="913"/>
      <c r="C123" s="914"/>
      <c r="D123" s="284">
        <v>80</v>
      </c>
    </row>
    <row r="124" spans="1:14" ht="15" x14ac:dyDescent="0.25">
      <c r="A124" s="912" t="s">
        <v>515</v>
      </c>
      <c r="B124" s="913"/>
      <c r="C124" s="914"/>
      <c r="D124" s="284">
        <v>36</v>
      </c>
    </row>
    <row r="125" spans="1:14" ht="15" x14ac:dyDescent="0.25">
      <c r="A125" s="947" t="s">
        <v>332</v>
      </c>
      <c r="B125" s="919"/>
      <c r="C125" s="920"/>
      <c r="D125" s="401">
        <f>SUM(D123:D124)*1.2</f>
        <v>139.19999999999999</v>
      </c>
    </row>
    <row r="128" spans="1:14" ht="15" x14ac:dyDescent="0.25">
      <c r="A128" s="909" t="s">
        <v>321</v>
      </c>
      <c r="B128" s="910"/>
      <c r="C128" s="910"/>
      <c r="D128" s="911"/>
    </row>
    <row r="129" spans="1:16" ht="15.75" customHeight="1" x14ac:dyDescent="0.2">
      <c r="A129" s="928" t="s">
        <v>431</v>
      </c>
      <c r="B129" s="929"/>
      <c r="C129" s="929"/>
      <c r="D129" s="930"/>
    </row>
    <row r="130" spans="1:16" ht="22.5" x14ac:dyDescent="0.2">
      <c r="A130" s="293"/>
      <c r="B130" s="296" t="s">
        <v>350</v>
      </c>
      <c r="C130" s="296" t="s">
        <v>351</v>
      </c>
      <c r="D130" s="301" t="s">
        <v>274</v>
      </c>
      <c r="F130" s="567" t="s">
        <v>432</v>
      </c>
      <c r="G130" s="567" t="s">
        <v>433</v>
      </c>
      <c r="H130" s="568" t="s">
        <v>434</v>
      </c>
      <c r="I130" s="568" t="s">
        <v>352</v>
      </c>
      <c r="J130" s="555" t="s">
        <v>138</v>
      </c>
      <c r="K130" s="544" t="s">
        <v>114</v>
      </c>
      <c r="L130" s="212" t="s">
        <v>139</v>
      </c>
      <c r="M130" s="555" t="s">
        <v>115</v>
      </c>
    </row>
    <row r="131" spans="1:16" x14ac:dyDescent="0.2">
      <c r="A131" s="283" t="s">
        <v>746</v>
      </c>
      <c r="B131" s="238">
        <v>0.9</v>
      </c>
      <c r="C131" s="238">
        <v>2.1</v>
      </c>
      <c r="D131" s="284">
        <v>1</v>
      </c>
      <c r="F131" s="235"/>
      <c r="G131" s="564"/>
      <c r="H131" s="233"/>
      <c r="I131" s="565">
        <f>B131*C131*D131*3</f>
        <v>5.67</v>
      </c>
      <c r="J131" s="554">
        <f>D131*(B131+0.8)*0.15*0.1</f>
        <v>2.5500000000000002E-2</v>
      </c>
      <c r="K131" s="556"/>
      <c r="L131" s="566">
        <f>D132*(B131+0.8)*(0.1+0.1+0.15)</f>
        <v>2.38</v>
      </c>
      <c r="M131" s="547"/>
      <c r="N131" s="547"/>
      <c r="O131" s="547"/>
      <c r="P131" s="547"/>
    </row>
    <row r="132" spans="1:16" x14ac:dyDescent="0.2">
      <c r="A132" s="289" t="s">
        <v>578</v>
      </c>
      <c r="B132" s="290">
        <v>0.9</v>
      </c>
      <c r="C132" s="290">
        <v>2.1</v>
      </c>
      <c r="D132" s="291">
        <v>4</v>
      </c>
      <c r="F132" s="249"/>
      <c r="G132" s="292"/>
      <c r="H132" s="290"/>
      <c r="I132" s="290">
        <f>B132*C132*D132*3</f>
        <v>22.68</v>
      </c>
      <c r="J132" s="554">
        <f>D132*(B132+0.8)*0.15*0.1</f>
        <v>0.10200000000000001</v>
      </c>
      <c r="K132" s="563"/>
      <c r="L132" s="477">
        <f>D132*(B132+0.8)*(0.1+0.1+0.15)</f>
        <v>2.38</v>
      </c>
      <c r="M132" s="291"/>
    </row>
    <row r="133" spans="1:16" x14ac:dyDescent="0.2">
      <c r="I133" s="460">
        <f>SUM(I131:I132)</f>
        <v>28.35</v>
      </c>
      <c r="J133" s="460">
        <f>SUM(J131:J132)</f>
        <v>0.1275</v>
      </c>
      <c r="L133" s="460">
        <f>SUM(L131:L132)</f>
        <v>4.76</v>
      </c>
    </row>
    <row r="134" spans="1:16" ht="15.75" customHeight="1" x14ac:dyDescent="0.2">
      <c r="A134" s="928" t="s">
        <v>435</v>
      </c>
      <c r="B134" s="929"/>
      <c r="C134" s="929"/>
      <c r="D134" s="930"/>
    </row>
    <row r="135" spans="1:16" ht="45" x14ac:dyDescent="0.2">
      <c r="A135" s="293"/>
      <c r="B135" s="213" t="s">
        <v>350</v>
      </c>
      <c r="C135" s="213" t="s">
        <v>351</v>
      </c>
      <c r="D135" s="214" t="s">
        <v>274</v>
      </c>
      <c r="F135" s="210" t="s">
        <v>432</v>
      </c>
      <c r="G135" s="210" t="s">
        <v>433</v>
      </c>
      <c r="H135" s="211" t="s">
        <v>434</v>
      </c>
      <c r="I135" s="544" t="s">
        <v>352</v>
      </c>
      <c r="J135" s="212" t="s">
        <v>138</v>
      </c>
      <c r="K135" s="544" t="s">
        <v>114</v>
      </c>
      <c r="L135" s="212" t="s">
        <v>139</v>
      </c>
      <c r="M135" s="549" t="s">
        <v>127</v>
      </c>
      <c r="N135" s="550" t="s">
        <v>116</v>
      </c>
      <c r="O135" s="550" t="s">
        <v>117</v>
      </c>
      <c r="P135" s="550" t="s">
        <v>118</v>
      </c>
    </row>
    <row r="136" spans="1:16" x14ac:dyDescent="0.2">
      <c r="A136" s="283" t="s">
        <v>743</v>
      </c>
      <c r="B136" s="238">
        <v>0.7</v>
      </c>
      <c r="C136" s="238">
        <v>2.1</v>
      </c>
      <c r="D136" s="284">
        <v>7</v>
      </c>
      <c r="F136" s="244"/>
      <c r="G136" s="288"/>
      <c r="H136" s="238"/>
      <c r="I136" s="545">
        <f>B136*C136*D136*3</f>
        <v>30.869999999999997</v>
      </c>
      <c r="J136" s="554">
        <f>D136*(B136+0.8)*0.15*0.1</f>
        <v>0.1575</v>
      </c>
      <c r="K136" s="556"/>
      <c r="L136" s="566">
        <f>D137*(B136+0.8)*(0.1+0.1+0.15)</f>
        <v>1.0499999999999998</v>
      </c>
      <c r="M136" s="547"/>
      <c r="N136" s="547">
        <f>0.7*2.1*0.25</f>
        <v>0.36749999999999999</v>
      </c>
      <c r="O136" s="547">
        <f>0.7+2.1+2.1</f>
        <v>4.9000000000000004</v>
      </c>
      <c r="P136" s="547"/>
    </row>
    <row r="137" spans="1:16" x14ac:dyDescent="0.2">
      <c r="A137" s="285" t="s">
        <v>742</v>
      </c>
      <c r="B137" s="238">
        <v>0.8</v>
      </c>
      <c r="C137" s="238">
        <v>2.1</v>
      </c>
      <c r="D137" s="284">
        <v>2</v>
      </c>
      <c r="F137" s="244"/>
      <c r="G137" s="288"/>
      <c r="H137" s="238"/>
      <c r="I137" s="545">
        <f>B137*C137*D137*3</f>
        <v>10.080000000000002</v>
      </c>
      <c r="J137" s="551"/>
      <c r="K137" s="545"/>
      <c r="L137" s="547"/>
      <c r="M137" s="547"/>
      <c r="N137" s="547"/>
      <c r="O137" s="547"/>
      <c r="P137" s="547"/>
    </row>
    <row r="138" spans="1:16" x14ac:dyDescent="0.2">
      <c r="A138" s="285" t="s">
        <v>741</v>
      </c>
      <c r="B138" s="238">
        <v>0.9</v>
      </c>
      <c r="C138" s="238">
        <v>2.1</v>
      </c>
      <c r="D138" s="488">
        <v>9</v>
      </c>
      <c r="F138" s="244"/>
      <c r="G138" s="288"/>
      <c r="H138" s="238"/>
      <c r="I138" s="545">
        <f>B138*C138*D138*3</f>
        <v>51.03</v>
      </c>
      <c r="J138" s="551"/>
      <c r="K138" s="545"/>
      <c r="L138" s="547"/>
      <c r="M138" s="547"/>
      <c r="N138" s="547"/>
      <c r="O138" s="547"/>
      <c r="P138" s="547"/>
    </row>
    <row r="139" spans="1:16" x14ac:dyDescent="0.2">
      <c r="A139" s="283" t="s">
        <v>762</v>
      </c>
      <c r="B139" s="238">
        <v>0.9</v>
      </c>
      <c r="C139" s="238">
        <v>2.1</v>
      </c>
      <c r="D139" s="284">
        <v>1</v>
      </c>
      <c r="F139" s="244"/>
      <c r="G139" s="288"/>
      <c r="H139" s="238"/>
      <c r="I139" s="545">
        <f>B139*C139*D139*3</f>
        <v>5.67</v>
      </c>
      <c r="J139" s="551"/>
      <c r="K139" s="545"/>
      <c r="L139" s="547"/>
      <c r="M139" s="547"/>
      <c r="N139" s="547">
        <f>0.2*2.1*0.25</f>
        <v>0.10500000000000001</v>
      </c>
      <c r="O139" s="547">
        <f>0.9+2.1+2.1</f>
        <v>5.0999999999999996</v>
      </c>
      <c r="P139" s="547"/>
    </row>
    <row r="140" spans="1:16" x14ac:dyDescent="0.2">
      <c r="A140" s="283" t="s">
        <v>744</v>
      </c>
      <c r="B140" s="238">
        <v>1.8</v>
      </c>
      <c r="C140" s="238">
        <v>2.1</v>
      </c>
      <c r="D140" s="284">
        <v>1</v>
      </c>
      <c r="F140" s="244"/>
      <c r="G140" s="288"/>
      <c r="H140" s="238"/>
      <c r="I140" s="545">
        <f>B140*C140*D140*3</f>
        <v>11.34</v>
      </c>
      <c r="J140" s="551"/>
      <c r="K140" s="545"/>
      <c r="L140" s="547"/>
      <c r="M140" s="547"/>
      <c r="N140" s="547"/>
      <c r="O140" s="547"/>
      <c r="P140" s="547"/>
    </row>
    <row r="141" spans="1:16" x14ac:dyDescent="0.2">
      <c r="A141" s="283" t="s">
        <v>745</v>
      </c>
      <c r="B141" s="238">
        <v>0.9</v>
      </c>
      <c r="C141" s="238">
        <v>2.1</v>
      </c>
      <c r="D141" s="284">
        <v>1</v>
      </c>
      <c r="F141" s="244"/>
      <c r="G141" s="306">
        <f>B141*D141</f>
        <v>0.9</v>
      </c>
      <c r="H141" s="238"/>
      <c r="I141" s="545"/>
      <c r="J141" s="554">
        <f>D141*(B141+0.8)*0.15*0.1</f>
        <v>2.5500000000000002E-2</v>
      </c>
      <c r="K141" s="545"/>
      <c r="L141" s="566">
        <f>D142*(B141+0.8)*(0.1+0.1+0.15)</f>
        <v>1.19</v>
      </c>
      <c r="M141" s="303"/>
      <c r="N141" s="303">
        <f>B141*C141*D141*0.25</f>
        <v>0.47250000000000003</v>
      </c>
      <c r="O141" s="547">
        <f>B141+C141+C141</f>
        <v>5.0999999999999996</v>
      </c>
      <c r="P141" s="547"/>
    </row>
    <row r="142" spans="1:16" x14ac:dyDescent="0.2">
      <c r="A142" s="283" t="s">
        <v>579</v>
      </c>
      <c r="B142" s="238">
        <v>1.8</v>
      </c>
      <c r="C142" s="238">
        <v>2.1</v>
      </c>
      <c r="D142" s="284">
        <v>2</v>
      </c>
      <c r="F142" s="244"/>
      <c r="G142" s="306">
        <f>B142*D142</f>
        <v>3.6</v>
      </c>
      <c r="H142" s="238"/>
      <c r="I142" s="545"/>
      <c r="J142" s="551"/>
      <c r="K142" s="545"/>
      <c r="L142" s="547"/>
      <c r="M142" s="547"/>
      <c r="N142" s="547"/>
      <c r="O142" s="547"/>
      <c r="P142" s="547"/>
    </row>
    <row r="143" spans="1:16" x14ac:dyDescent="0.2">
      <c r="A143" s="283" t="s">
        <v>4</v>
      </c>
      <c r="B143" s="238">
        <v>2.7</v>
      </c>
      <c r="C143" s="238">
        <v>2.1</v>
      </c>
      <c r="D143" s="284">
        <v>1</v>
      </c>
      <c r="F143" s="244"/>
      <c r="G143" s="288"/>
      <c r="H143" s="238"/>
      <c r="I143" s="545"/>
      <c r="J143" s="554">
        <f>D143*(B143+0.8)*0.15*0.1</f>
        <v>5.2500000000000005E-2</v>
      </c>
      <c r="K143" s="545"/>
      <c r="L143" s="566">
        <f>D144*(B143+0.8)*(0.1+0.1+0.15)</f>
        <v>2.4499999999999997</v>
      </c>
      <c r="M143" s="303"/>
      <c r="N143" s="303"/>
      <c r="O143" s="547"/>
      <c r="P143" s="547"/>
    </row>
    <row r="144" spans="1:16" x14ac:dyDescent="0.2">
      <c r="A144" s="283" t="s">
        <v>746</v>
      </c>
      <c r="B144" s="238">
        <v>0.9</v>
      </c>
      <c r="C144" s="238">
        <v>2.1</v>
      </c>
      <c r="D144" s="284">
        <v>2</v>
      </c>
      <c r="F144" s="295"/>
      <c r="G144" s="306">
        <f>B144*D144</f>
        <v>1.8</v>
      </c>
      <c r="H144" s="286"/>
      <c r="I144" s="546">
        <f>B144*C144*D144*3</f>
        <v>11.34</v>
      </c>
      <c r="J144" s="552"/>
      <c r="K144" s="546"/>
      <c r="L144" s="547"/>
      <c r="M144" s="547"/>
      <c r="N144" s="547"/>
      <c r="O144" s="547"/>
      <c r="P144" s="547"/>
    </row>
    <row r="145" spans="1:16" ht="16.5" customHeight="1" x14ac:dyDescent="0.2">
      <c r="A145" s="283" t="s">
        <v>747</v>
      </c>
      <c r="B145" s="238">
        <v>0.6</v>
      </c>
      <c r="C145" s="238">
        <v>0.6</v>
      </c>
      <c r="D145" s="453">
        <v>3</v>
      </c>
      <c r="E145" s="457" t="s">
        <v>550</v>
      </c>
      <c r="F145" s="244"/>
      <c r="G145" s="288"/>
      <c r="H145" s="238">
        <f t="shared" ref="H145:H150" si="23">B145*D145</f>
        <v>1.7999999999999998</v>
      </c>
      <c r="I145" s="545"/>
      <c r="J145" s="554">
        <f t="shared" ref="J145:J150" si="24">D145*(B145+0.8)*0.15*0.1</f>
        <v>6.2999999999999987E-2</v>
      </c>
      <c r="K145" s="545">
        <f t="shared" ref="K145:K150" si="25">J145</f>
        <v>6.2999999999999987E-2</v>
      </c>
      <c r="L145" s="566">
        <f t="shared" ref="L145:L150" si="26">D146*(B145+0.8)*(0.1+0.1+0.15)</f>
        <v>0.97999999999999987</v>
      </c>
      <c r="M145" s="303">
        <f t="shared" ref="M145:M150" si="27">L145</f>
        <v>0.97999999999999987</v>
      </c>
      <c r="N145" s="303">
        <f t="shared" ref="N145:N150" si="28">B145*C145*D145*0.25</f>
        <v>0.27</v>
      </c>
      <c r="O145" s="547">
        <f t="shared" ref="O145:O150" si="29">2*(B145+C145)*D145</f>
        <v>7.1999999999999993</v>
      </c>
      <c r="P145" s="547"/>
    </row>
    <row r="146" spans="1:16" ht="15" customHeight="1" x14ac:dyDescent="0.2">
      <c r="A146" s="283" t="s">
        <v>748</v>
      </c>
      <c r="B146" s="238">
        <v>0.9</v>
      </c>
      <c r="C146" s="238">
        <v>0.9</v>
      </c>
      <c r="D146" s="453">
        <v>2</v>
      </c>
      <c r="E146" s="457" t="s">
        <v>551</v>
      </c>
      <c r="F146" s="244"/>
      <c r="G146" s="288"/>
      <c r="H146" s="238">
        <f t="shared" si="23"/>
        <v>1.8</v>
      </c>
      <c r="I146" s="545"/>
      <c r="J146" s="554">
        <f t="shared" si="24"/>
        <v>5.1000000000000004E-2</v>
      </c>
      <c r="K146" s="545">
        <f t="shared" si="25"/>
        <v>5.1000000000000004E-2</v>
      </c>
      <c r="L146" s="566">
        <f t="shared" si="26"/>
        <v>2.38</v>
      </c>
      <c r="M146" s="303">
        <f t="shared" si="27"/>
        <v>2.38</v>
      </c>
      <c r="N146" s="303">
        <f t="shared" si="28"/>
        <v>0.40500000000000003</v>
      </c>
      <c r="O146" s="547">
        <f t="shared" si="29"/>
        <v>7.2</v>
      </c>
      <c r="P146" s="547"/>
    </row>
    <row r="147" spans="1:16" x14ac:dyDescent="0.2">
      <c r="A147" s="283" t="s">
        <v>749</v>
      </c>
      <c r="B147" s="238">
        <v>1.8</v>
      </c>
      <c r="C147" s="238">
        <v>0.9</v>
      </c>
      <c r="D147" s="453">
        <v>4</v>
      </c>
      <c r="E147" s="457"/>
      <c r="F147" s="244"/>
      <c r="G147" s="288"/>
      <c r="H147" s="238">
        <f t="shared" si="23"/>
        <v>7.2</v>
      </c>
      <c r="I147" s="545"/>
      <c r="J147" s="554">
        <f t="shared" si="24"/>
        <v>0.15600000000000003</v>
      </c>
      <c r="K147" s="545">
        <f t="shared" si="25"/>
        <v>0.15600000000000003</v>
      </c>
      <c r="L147" s="566">
        <f t="shared" si="26"/>
        <v>1.8199999999999998</v>
      </c>
      <c r="M147" s="303">
        <f t="shared" si="27"/>
        <v>1.8199999999999998</v>
      </c>
      <c r="N147" s="303">
        <f t="shared" si="28"/>
        <v>1.62</v>
      </c>
      <c r="O147" s="547">
        <f t="shared" si="29"/>
        <v>21.6</v>
      </c>
      <c r="P147" s="547"/>
    </row>
    <row r="148" spans="1:16" x14ac:dyDescent="0.2">
      <c r="A148" s="283" t="s">
        <v>750</v>
      </c>
      <c r="B148" s="238">
        <v>1.8</v>
      </c>
      <c r="C148" s="238">
        <v>1.2</v>
      </c>
      <c r="D148" s="453">
        <v>2</v>
      </c>
      <c r="E148" s="457" t="s">
        <v>751</v>
      </c>
      <c r="F148" s="244"/>
      <c r="G148" s="288"/>
      <c r="H148" s="238">
        <f t="shared" si="23"/>
        <v>3.6</v>
      </c>
      <c r="I148" s="545"/>
      <c r="J148" s="554">
        <f t="shared" si="24"/>
        <v>7.8000000000000014E-2</v>
      </c>
      <c r="K148" s="545">
        <f t="shared" si="25"/>
        <v>7.8000000000000014E-2</v>
      </c>
      <c r="L148" s="566">
        <f t="shared" si="26"/>
        <v>3.6399999999999997</v>
      </c>
      <c r="M148" s="303">
        <f t="shared" si="27"/>
        <v>3.6399999999999997</v>
      </c>
      <c r="N148" s="303">
        <f t="shared" si="28"/>
        <v>1.08</v>
      </c>
      <c r="O148" s="547">
        <f t="shared" si="29"/>
        <v>12</v>
      </c>
      <c r="P148" s="547"/>
    </row>
    <row r="149" spans="1:16" x14ac:dyDescent="0.2">
      <c r="A149" s="283" t="s">
        <v>752</v>
      </c>
      <c r="B149" s="238">
        <v>1.8</v>
      </c>
      <c r="C149" s="238">
        <v>0.6</v>
      </c>
      <c r="D149" s="453">
        <v>4</v>
      </c>
      <c r="E149" s="457" t="s">
        <v>552</v>
      </c>
      <c r="F149" s="295"/>
      <c r="G149" s="306"/>
      <c r="H149" s="238">
        <f t="shared" si="23"/>
        <v>7.2</v>
      </c>
      <c r="I149" s="546"/>
      <c r="J149" s="554">
        <f t="shared" si="24"/>
        <v>0.15600000000000003</v>
      </c>
      <c r="K149" s="545">
        <f t="shared" si="25"/>
        <v>0.15600000000000003</v>
      </c>
      <c r="L149" s="566">
        <f t="shared" si="26"/>
        <v>0.90999999999999992</v>
      </c>
      <c r="M149" s="303">
        <f t="shared" si="27"/>
        <v>0.90999999999999992</v>
      </c>
      <c r="N149" s="303">
        <f t="shared" si="28"/>
        <v>1.08</v>
      </c>
      <c r="O149" s="547">
        <f t="shared" si="29"/>
        <v>19.2</v>
      </c>
      <c r="P149" s="547"/>
    </row>
    <row r="150" spans="1:16" x14ac:dyDescent="0.2">
      <c r="A150" s="283" t="s">
        <v>19</v>
      </c>
      <c r="B150" s="238">
        <v>2.25</v>
      </c>
      <c r="C150" s="238">
        <v>2.7</v>
      </c>
      <c r="D150" s="453">
        <v>1</v>
      </c>
      <c r="E150" s="457" t="s">
        <v>553</v>
      </c>
      <c r="F150" s="295"/>
      <c r="G150" s="306"/>
      <c r="H150" s="238">
        <f t="shared" si="23"/>
        <v>2.25</v>
      </c>
      <c r="I150" s="546"/>
      <c r="J150" s="554">
        <f t="shared" si="24"/>
        <v>4.5749999999999999E-2</v>
      </c>
      <c r="K150" s="545">
        <f t="shared" si="25"/>
        <v>4.5749999999999999E-2</v>
      </c>
      <c r="L150" s="566">
        <f t="shared" si="26"/>
        <v>0</v>
      </c>
      <c r="M150" s="303">
        <f t="shared" si="27"/>
        <v>0</v>
      </c>
      <c r="N150" s="303">
        <f t="shared" si="28"/>
        <v>1.51875</v>
      </c>
      <c r="O150" s="548">
        <f t="shared" si="29"/>
        <v>9.9</v>
      </c>
      <c r="P150" s="548"/>
    </row>
    <row r="151" spans="1:16" x14ac:dyDescent="0.2">
      <c r="A151" s="294"/>
      <c r="B151" s="233"/>
      <c r="C151" s="233"/>
      <c r="D151" s="234"/>
      <c r="F151" s="307">
        <f>SUM(F136:F150)</f>
        <v>0</v>
      </c>
      <c r="G151" s="307">
        <f>SUM(G136:G150)</f>
        <v>6.3</v>
      </c>
      <c r="H151" s="307">
        <f>SUM(H136:H150)</f>
        <v>23.85</v>
      </c>
      <c r="I151" s="307">
        <f t="shared" ref="I151:P151" si="30">SUM(I136:I150)</f>
        <v>120.33000000000001</v>
      </c>
      <c r="J151" s="307">
        <f t="shared" si="30"/>
        <v>0.78525000000000011</v>
      </c>
      <c r="K151" s="307">
        <f t="shared" si="30"/>
        <v>0.54974999999999996</v>
      </c>
      <c r="L151" s="307">
        <f t="shared" si="30"/>
        <v>14.419999999999998</v>
      </c>
      <c r="M151" s="307">
        <f t="shared" si="30"/>
        <v>9.73</v>
      </c>
      <c r="N151" s="307">
        <f t="shared" si="30"/>
        <v>6.9187500000000002</v>
      </c>
      <c r="O151" s="307">
        <f t="shared" si="30"/>
        <v>92.2</v>
      </c>
      <c r="P151" s="307">
        <f t="shared" si="30"/>
        <v>0</v>
      </c>
    </row>
    <row r="152" spans="1:16" ht="15.75" customHeight="1" x14ac:dyDescent="0.2">
      <c r="A152" s="928" t="s">
        <v>436</v>
      </c>
      <c r="B152" s="929"/>
      <c r="C152" s="929"/>
      <c r="D152" s="930"/>
    </row>
    <row r="153" spans="1:16" ht="45" x14ac:dyDescent="0.2">
      <c r="A153" s="293"/>
      <c r="B153" s="296" t="s">
        <v>350</v>
      </c>
      <c r="C153" s="296" t="s">
        <v>351</v>
      </c>
      <c r="D153" s="301" t="s">
        <v>274</v>
      </c>
      <c r="F153" s="210" t="s">
        <v>432</v>
      </c>
      <c r="G153" s="210" t="s">
        <v>433</v>
      </c>
      <c r="H153" s="211" t="s">
        <v>434</v>
      </c>
      <c r="I153" s="544" t="s">
        <v>352</v>
      </c>
      <c r="J153" s="212" t="s">
        <v>138</v>
      </c>
      <c r="K153" s="544" t="s">
        <v>114</v>
      </c>
      <c r="L153" s="212" t="s">
        <v>139</v>
      </c>
      <c r="M153" s="549" t="s">
        <v>127</v>
      </c>
      <c r="N153" s="550" t="s">
        <v>116</v>
      </c>
      <c r="O153" s="550" t="s">
        <v>117</v>
      </c>
      <c r="P153" s="550" t="s">
        <v>118</v>
      </c>
    </row>
    <row r="154" spans="1:16" x14ac:dyDescent="0.2">
      <c r="A154" s="283" t="s">
        <v>743</v>
      </c>
      <c r="B154" s="238">
        <v>0.7</v>
      </c>
      <c r="C154" s="238">
        <v>2.1</v>
      </c>
      <c r="D154" s="284">
        <v>2</v>
      </c>
      <c r="F154" s="244"/>
      <c r="G154" s="288"/>
      <c r="H154" s="238"/>
      <c r="I154" s="545">
        <f>B154*C154*D154*3</f>
        <v>8.82</v>
      </c>
      <c r="J154" s="554"/>
      <c r="K154" s="231"/>
      <c r="L154" s="282"/>
      <c r="M154" s="282"/>
      <c r="N154" s="554"/>
      <c r="O154" s="554"/>
      <c r="P154" s="554"/>
    </row>
    <row r="155" spans="1:16" x14ac:dyDescent="0.2">
      <c r="A155" s="285" t="s">
        <v>742</v>
      </c>
      <c r="B155" s="238">
        <v>0.8</v>
      </c>
      <c r="C155" s="238">
        <v>2.1</v>
      </c>
      <c r="D155" s="284">
        <v>5</v>
      </c>
      <c r="F155" s="244"/>
      <c r="G155" s="288"/>
      <c r="H155" s="238"/>
      <c r="I155" s="545">
        <f>B155*C155*D155*3</f>
        <v>25.200000000000003</v>
      </c>
      <c r="J155" s="551"/>
      <c r="K155" s="238"/>
      <c r="L155" s="284"/>
      <c r="M155" s="284"/>
      <c r="N155" s="551"/>
      <c r="O155" s="551"/>
      <c r="P155" s="551"/>
    </row>
    <row r="156" spans="1:16" x14ac:dyDescent="0.2">
      <c r="A156" s="285" t="s">
        <v>741</v>
      </c>
      <c r="B156" s="238">
        <v>0.9</v>
      </c>
      <c r="C156" s="238">
        <v>2.1</v>
      </c>
      <c r="D156" s="284">
        <v>11</v>
      </c>
      <c r="F156" s="244"/>
      <c r="G156" s="288"/>
      <c r="H156" s="238"/>
      <c r="I156" s="545">
        <f>B156*C156*D156*3</f>
        <v>62.370000000000005</v>
      </c>
      <c r="J156" s="551"/>
      <c r="K156" s="238"/>
      <c r="L156" s="284"/>
      <c r="M156" s="284"/>
      <c r="N156" s="551"/>
      <c r="O156" s="551"/>
      <c r="P156" s="551"/>
    </row>
    <row r="157" spans="1:16" x14ac:dyDescent="0.2">
      <c r="A157" s="283" t="s">
        <v>762</v>
      </c>
      <c r="B157" s="238">
        <v>0.9</v>
      </c>
      <c r="C157" s="238">
        <v>2.1</v>
      </c>
      <c r="D157" s="284">
        <v>1</v>
      </c>
      <c r="F157" s="244"/>
      <c r="G157" s="288"/>
      <c r="H157" s="238"/>
      <c r="I157" s="545">
        <f>B157*C157*D157*3</f>
        <v>5.67</v>
      </c>
      <c r="J157" s="551"/>
      <c r="K157" s="238"/>
      <c r="L157" s="284"/>
      <c r="M157" s="284"/>
      <c r="N157" s="303">
        <f>B157*C157*D157*0.25</f>
        <v>0.47250000000000003</v>
      </c>
      <c r="O157" s="547">
        <f>(B157+C157+C157)*D157</f>
        <v>5.0999999999999996</v>
      </c>
      <c r="P157" s="551"/>
    </row>
    <row r="158" spans="1:16" x14ac:dyDescent="0.2">
      <c r="A158" s="283" t="s">
        <v>3</v>
      </c>
      <c r="B158" s="238">
        <v>0.9</v>
      </c>
      <c r="C158" s="238">
        <v>2.1</v>
      </c>
      <c r="D158" s="284">
        <v>5</v>
      </c>
      <c r="F158" s="244"/>
      <c r="G158" s="288"/>
      <c r="H158" s="238"/>
      <c r="I158" s="545">
        <f>B158*C158*D158*3</f>
        <v>28.35</v>
      </c>
      <c r="J158" s="551"/>
      <c r="K158" s="238"/>
      <c r="L158" s="284"/>
      <c r="M158" s="284"/>
      <c r="N158" s="551"/>
      <c r="O158" s="551"/>
      <c r="P158" s="551"/>
    </row>
    <row r="159" spans="1:16" x14ac:dyDescent="0.2">
      <c r="A159" s="283" t="s">
        <v>5</v>
      </c>
      <c r="B159" s="238">
        <v>0.6</v>
      </c>
      <c r="C159" s="238">
        <v>1.8</v>
      </c>
      <c r="D159" s="284">
        <v>4</v>
      </c>
      <c r="F159" s="244"/>
      <c r="G159" s="288"/>
      <c r="H159" s="238"/>
      <c r="I159" s="545"/>
      <c r="J159" s="551"/>
      <c r="K159" s="238"/>
      <c r="L159" s="284"/>
      <c r="M159" s="284"/>
      <c r="N159" s="551"/>
      <c r="O159" s="551"/>
      <c r="P159" s="551"/>
    </row>
    <row r="160" spans="1:16" x14ac:dyDescent="0.2">
      <c r="A160" s="283" t="s">
        <v>108</v>
      </c>
      <c r="B160" s="238">
        <v>0.9</v>
      </c>
      <c r="C160" s="238">
        <v>2.1</v>
      </c>
      <c r="D160" s="284">
        <v>1</v>
      </c>
      <c r="F160" s="244"/>
      <c r="G160" s="288">
        <f>B160</f>
        <v>0.9</v>
      </c>
      <c r="H160" s="238"/>
      <c r="I160" s="545"/>
      <c r="J160" s="554">
        <f>D160*(B160+0.8)*0.15*0.1</f>
        <v>2.5500000000000002E-2</v>
      </c>
      <c r="K160" s="238"/>
      <c r="L160" s="566">
        <f>D161*(B160+0.8)*(0.1+0.1+0.15)</f>
        <v>0.59499999999999997</v>
      </c>
      <c r="M160" s="284"/>
      <c r="N160" s="303">
        <f>B160*C160*D160*0.25</f>
        <v>0.47250000000000003</v>
      </c>
      <c r="O160" s="547">
        <f>(B160+C160+C160)*D160</f>
        <v>5.0999999999999996</v>
      </c>
      <c r="P160" s="551"/>
    </row>
    <row r="161" spans="1:16" x14ac:dyDescent="0.2">
      <c r="A161" s="283" t="s">
        <v>579</v>
      </c>
      <c r="B161" s="238">
        <v>1.8</v>
      </c>
      <c r="C161" s="238">
        <v>2.1</v>
      </c>
      <c r="D161" s="284">
        <v>1</v>
      </c>
      <c r="F161" s="244"/>
      <c r="G161" s="288"/>
      <c r="H161" s="238"/>
      <c r="I161" s="545"/>
      <c r="J161" s="551"/>
      <c r="K161" s="238"/>
      <c r="L161" s="284"/>
      <c r="M161" s="284"/>
      <c r="N161" s="551"/>
      <c r="O161" s="551"/>
      <c r="P161" s="551"/>
    </row>
    <row r="162" spans="1:16" ht="33.75" customHeight="1" x14ac:dyDescent="0.2">
      <c r="A162" s="283" t="s">
        <v>748</v>
      </c>
      <c r="B162" s="238">
        <v>0.9</v>
      </c>
      <c r="C162" s="238">
        <v>0.9</v>
      </c>
      <c r="D162" s="284">
        <v>6</v>
      </c>
      <c r="E162" s="457" t="s">
        <v>554</v>
      </c>
      <c r="F162" s="244"/>
      <c r="G162" s="288"/>
      <c r="H162" s="238">
        <f t="shared" ref="H162:H167" si="31">B162*D162</f>
        <v>5.4</v>
      </c>
      <c r="I162" s="545"/>
      <c r="J162" s="554">
        <f t="shared" ref="J162:J167" si="32">D162*(B162+0.8)*0.15*0.1</f>
        <v>0.15300000000000002</v>
      </c>
      <c r="K162" s="238">
        <f t="shared" ref="K162:K167" si="33">J162</f>
        <v>0.15300000000000002</v>
      </c>
      <c r="L162" s="566">
        <f t="shared" ref="L162:L167" si="34">D163*(B162+0.8)*(0.1+0.1+0.15)</f>
        <v>0.59499999999999997</v>
      </c>
      <c r="M162" s="284">
        <f t="shared" ref="M162:M167" si="35">L162</f>
        <v>0.59499999999999997</v>
      </c>
      <c r="N162" s="303">
        <f t="shared" ref="N162:N167" si="36">B162*C162*D162*0.25</f>
        <v>1.2150000000000001</v>
      </c>
      <c r="O162" s="547">
        <f t="shared" ref="O162:O167" si="37">2*(B162+C162)*D162</f>
        <v>21.6</v>
      </c>
      <c r="P162" s="551"/>
    </row>
    <row r="163" spans="1:16" ht="15.75" customHeight="1" x14ac:dyDescent="0.2">
      <c r="A163" s="283" t="s">
        <v>22</v>
      </c>
      <c r="B163" s="238">
        <v>0.9</v>
      </c>
      <c r="C163" s="238">
        <v>0.6</v>
      </c>
      <c r="D163" s="284">
        <v>1</v>
      </c>
      <c r="E163" s="457" t="s">
        <v>23</v>
      </c>
      <c r="F163" s="244"/>
      <c r="G163" s="288"/>
      <c r="H163" s="238">
        <f t="shared" si="31"/>
        <v>0.9</v>
      </c>
      <c r="I163" s="545"/>
      <c r="J163" s="554">
        <f t="shared" si="32"/>
        <v>2.5500000000000002E-2</v>
      </c>
      <c r="K163" s="238">
        <f t="shared" si="33"/>
        <v>2.5500000000000002E-2</v>
      </c>
      <c r="L163" s="566">
        <f t="shared" si="34"/>
        <v>1.7850000000000001</v>
      </c>
      <c r="M163" s="284">
        <f t="shared" si="35"/>
        <v>1.7850000000000001</v>
      </c>
      <c r="N163" s="303">
        <f t="shared" si="36"/>
        <v>0.13500000000000001</v>
      </c>
      <c r="O163" s="547">
        <f t="shared" si="37"/>
        <v>3</v>
      </c>
      <c r="P163" s="551"/>
    </row>
    <row r="164" spans="1:16" ht="18.75" customHeight="1" x14ac:dyDescent="0.2">
      <c r="A164" s="283" t="s">
        <v>756</v>
      </c>
      <c r="B164" s="238">
        <v>1.3</v>
      </c>
      <c r="C164" s="238">
        <v>0.85</v>
      </c>
      <c r="D164" s="453">
        <v>3</v>
      </c>
      <c r="E164" s="457" t="s">
        <v>757</v>
      </c>
      <c r="F164" s="244"/>
      <c r="G164" s="288"/>
      <c r="H164" s="238">
        <f t="shared" si="31"/>
        <v>3.9000000000000004</v>
      </c>
      <c r="I164" s="545"/>
      <c r="J164" s="554">
        <f t="shared" si="32"/>
        <v>9.4500000000000015E-2</v>
      </c>
      <c r="K164" s="238">
        <f t="shared" si="33"/>
        <v>9.4500000000000015E-2</v>
      </c>
      <c r="L164" s="566">
        <f t="shared" si="34"/>
        <v>0.73499999999999999</v>
      </c>
      <c r="M164" s="284">
        <f t="shared" si="35"/>
        <v>0.73499999999999999</v>
      </c>
      <c r="N164" s="303">
        <f t="shared" si="36"/>
        <v>0.82874999999999999</v>
      </c>
      <c r="O164" s="547">
        <f t="shared" si="37"/>
        <v>12.899999999999999</v>
      </c>
      <c r="P164" s="551"/>
    </row>
    <row r="165" spans="1:16" ht="18.75" customHeight="1" x14ac:dyDescent="0.2">
      <c r="A165" s="283" t="s">
        <v>758</v>
      </c>
      <c r="B165" s="238">
        <v>2.4</v>
      </c>
      <c r="C165" s="238">
        <v>0.85</v>
      </c>
      <c r="D165" s="453">
        <v>1</v>
      </c>
      <c r="E165" s="457" t="s">
        <v>9</v>
      </c>
      <c r="F165" s="295"/>
      <c r="G165" s="306"/>
      <c r="H165" s="238">
        <f t="shared" si="31"/>
        <v>2.4</v>
      </c>
      <c r="I165" s="546"/>
      <c r="J165" s="554">
        <f t="shared" si="32"/>
        <v>4.8000000000000001E-2</v>
      </c>
      <c r="K165" s="238">
        <f t="shared" si="33"/>
        <v>4.8000000000000001E-2</v>
      </c>
      <c r="L165" s="566">
        <f t="shared" si="34"/>
        <v>1.1199999999999999</v>
      </c>
      <c r="M165" s="284">
        <f t="shared" si="35"/>
        <v>1.1199999999999999</v>
      </c>
      <c r="N165" s="303">
        <f t="shared" si="36"/>
        <v>0.51</v>
      </c>
      <c r="O165" s="547">
        <f t="shared" si="37"/>
        <v>6.5</v>
      </c>
      <c r="P165" s="551">
        <f>2.4*0.85</f>
        <v>2.04</v>
      </c>
    </row>
    <row r="166" spans="1:16" ht="15.75" customHeight="1" x14ac:dyDescent="0.2">
      <c r="A166" s="283" t="s">
        <v>758</v>
      </c>
      <c r="B166" s="238">
        <v>2.4</v>
      </c>
      <c r="C166" s="238">
        <v>0.85</v>
      </c>
      <c r="D166" s="453">
        <v>1</v>
      </c>
      <c r="E166" s="457" t="s">
        <v>20</v>
      </c>
      <c r="F166" s="295"/>
      <c r="G166" s="306"/>
      <c r="H166" s="238">
        <f t="shared" si="31"/>
        <v>2.4</v>
      </c>
      <c r="I166" s="546"/>
      <c r="J166" s="554">
        <f t="shared" si="32"/>
        <v>4.8000000000000001E-2</v>
      </c>
      <c r="K166" s="238">
        <f t="shared" si="33"/>
        <v>4.8000000000000001E-2</v>
      </c>
      <c r="L166" s="566">
        <f t="shared" si="34"/>
        <v>1.1199999999999999</v>
      </c>
      <c r="M166" s="284">
        <f t="shared" si="35"/>
        <v>1.1199999999999999</v>
      </c>
      <c r="N166" s="303">
        <f t="shared" si="36"/>
        <v>0.51</v>
      </c>
      <c r="O166" s="547">
        <f t="shared" si="37"/>
        <v>6.5</v>
      </c>
      <c r="P166" s="551"/>
    </row>
    <row r="167" spans="1:16" ht="16.5" customHeight="1" x14ac:dyDescent="0.2">
      <c r="A167" s="289" t="s">
        <v>750</v>
      </c>
      <c r="B167" s="290">
        <v>1.8</v>
      </c>
      <c r="C167" s="290">
        <v>1.2</v>
      </c>
      <c r="D167" s="485">
        <v>1</v>
      </c>
      <c r="E167" s="457" t="s">
        <v>21</v>
      </c>
      <c r="F167" s="235"/>
      <c r="G167" s="483"/>
      <c r="H167" s="484">
        <f t="shared" si="31"/>
        <v>1.8</v>
      </c>
      <c r="I167" s="229"/>
      <c r="J167" s="554">
        <f t="shared" si="32"/>
        <v>3.9000000000000007E-2</v>
      </c>
      <c r="K167" s="484">
        <f t="shared" si="33"/>
        <v>3.9000000000000007E-2</v>
      </c>
      <c r="L167" s="566">
        <f t="shared" si="34"/>
        <v>0</v>
      </c>
      <c r="M167" s="284">
        <f t="shared" si="35"/>
        <v>0</v>
      </c>
      <c r="N167" s="303">
        <f t="shared" si="36"/>
        <v>0.54</v>
      </c>
      <c r="O167" s="547">
        <f t="shared" si="37"/>
        <v>6</v>
      </c>
      <c r="P167" s="553"/>
    </row>
    <row r="168" spans="1:16" x14ac:dyDescent="0.2">
      <c r="A168" s="487"/>
      <c r="B168" s="486"/>
      <c r="C168" s="486"/>
      <c r="D168" s="234"/>
      <c r="F168" s="307">
        <f>SUM(F154:F167)</f>
        <v>0</v>
      </c>
      <c r="G168" s="307">
        <f>SUM(G154:G167)</f>
        <v>0.9</v>
      </c>
      <c r="H168" s="307">
        <f>SUM(H154:H167)</f>
        <v>16.8</v>
      </c>
      <c r="I168" s="307">
        <f t="shared" ref="I168:P168" si="38">SUM(I154:I167)</f>
        <v>130.41000000000003</v>
      </c>
      <c r="J168" s="307">
        <f t="shared" si="38"/>
        <v>0.4335</v>
      </c>
      <c r="K168" s="307">
        <f t="shared" si="38"/>
        <v>0.40800000000000003</v>
      </c>
      <c r="L168" s="307">
        <f t="shared" si="38"/>
        <v>5.95</v>
      </c>
      <c r="M168" s="307">
        <f t="shared" si="38"/>
        <v>5.3549999999999995</v>
      </c>
      <c r="N168" s="307">
        <f t="shared" si="38"/>
        <v>4.6837499999999999</v>
      </c>
      <c r="O168" s="307">
        <f t="shared" si="38"/>
        <v>66.699999999999989</v>
      </c>
      <c r="P168" s="307">
        <f t="shared" si="38"/>
        <v>2.04</v>
      </c>
    </row>
    <row r="169" spans="1:16" ht="15.75" customHeight="1" x14ac:dyDescent="0.2">
      <c r="A169" s="928" t="s">
        <v>437</v>
      </c>
      <c r="B169" s="929"/>
      <c r="C169" s="929"/>
      <c r="D169" s="930"/>
    </row>
    <row r="170" spans="1:16" ht="45" x14ac:dyDescent="0.2">
      <c r="A170" s="293"/>
      <c r="B170" s="296" t="s">
        <v>350</v>
      </c>
      <c r="C170" s="296" t="s">
        <v>351</v>
      </c>
      <c r="D170" s="301" t="s">
        <v>274</v>
      </c>
      <c r="F170" s="210" t="s">
        <v>432</v>
      </c>
      <c r="G170" s="210" t="s">
        <v>433</v>
      </c>
      <c r="H170" s="211" t="s">
        <v>434</v>
      </c>
      <c r="I170" s="211" t="s">
        <v>352</v>
      </c>
      <c r="J170" s="212" t="s">
        <v>138</v>
      </c>
      <c r="K170" s="544" t="s">
        <v>114</v>
      </c>
      <c r="L170" s="212" t="s">
        <v>139</v>
      </c>
      <c r="M170" s="549" t="s">
        <v>127</v>
      </c>
      <c r="N170" s="550" t="s">
        <v>116</v>
      </c>
      <c r="O170" s="550" t="s">
        <v>117</v>
      </c>
      <c r="P170" s="550" t="s">
        <v>118</v>
      </c>
    </row>
    <row r="171" spans="1:16" x14ac:dyDescent="0.2">
      <c r="A171" s="283" t="s">
        <v>743</v>
      </c>
      <c r="B171" s="238">
        <v>0.7</v>
      </c>
      <c r="C171" s="238">
        <v>2.1</v>
      </c>
      <c r="D171" s="284">
        <v>2</v>
      </c>
      <c r="F171" s="244"/>
      <c r="G171" s="288"/>
      <c r="H171" s="238"/>
      <c r="I171" s="238">
        <f>B171*C171*D171*3</f>
        <v>8.82</v>
      </c>
      <c r="J171" s="238"/>
      <c r="K171" s="238"/>
      <c r="L171" s="284"/>
      <c r="M171" s="284"/>
      <c r="N171" s="284"/>
      <c r="O171" s="284"/>
      <c r="P171" s="284"/>
    </row>
    <row r="172" spans="1:16" x14ac:dyDescent="0.2">
      <c r="A172" s="285" t="s">
        <v>742</v>
      </c>
      <c r="B172" s="238">
        <v>0.8</v>
      </c>
      <c r="C172" s="238">
        <v>2.1</v>
      </c>
      <c r="D172" s="284">
        <v>5</v>
      </c>
      <c r="F172" s="244"/>
      <c r="G172" s="288"/>
      <c r="H172" s="238"/>
      <c r="I172" s="238">
        <f>B172*C172*D172*3</f>
        <v>25.200000000000003</v>
      </c>
      <c r="J172" s="238"/>
      <c r="K172" s="238"/>
      <c r="L172" s="284"/>
      <c r="M172" s="284"/>
      <c r="N172" s="284"/>
      <c r="O172" s="284"/>
      <c r="P172" s="284"/>
    </row>
    <row r="173" spans="1:16" x14ac:dyDescent="0.2">
      <c r="A173" s="285" t="s">
        <v>741</v>
      </c>
      <c r="B173" s="238">
        <v>0.9</v>
      </c>
      <c r="C173" s="238">
        <v>2.1</v>
      </c>
      <c r="D173" s="284">
        <v>8</v>
      </c>
      <c r="F173" s="244"/>
      <c r="G173" s="288"/>
      <c r="H173" s="238"/>
      <c r="I173" s="238">
        <f>B173*C173*D173*3</f>
        <v>45.36</v>
      </c>
      <c r="J173" s="238"/>
      <c r="K173" s="238"/>
      <c r="L173" s="284"/>
      <c r="M173" s="284"/>
      <c r="N173" s="284"/>
      <c r="O173" s="284"/>
      <c r="P173" s="284"/>
    </row>
    <row r="174" spans="1:16" x14ac:dyDescent="0.2">
      <c r="A174" s="283" t="s">
        <v>762</v>
      </c>
      <c r="B174" s="238">
        <v>0.9</v>
      </c>
      <c r="C174" s="238">
        <v>2.1</v>
      </c>
      <c r="D174" s="284">
        <v>1</v>
      </c>
      <c r="F174" s="244"/>
      <c r="G174" s="288"/>
      <c r="H174" s="238"/>
      <c r="I174" s="238">
        <f>B174*C174*D174*3</f>
        <v>5.67</v>
      </c>
      <c r="J174" s="238"/>
      <c r="K174" s="238"/>
      <c r="L174" s="284"/>
      <c r="M174" s="284"/>
      <c r="N174" s="284"/>
      <c r="O174" s="284"/>
      <c r="P174" s="284"/>
    </row>
    <row r="175" spans="1:16" x14ac:dyDescent="0.2">
      <c r="A175" s="283" t="s">
        <v>3</v>
      </c>
      <c r="B175" s="238">
        <v>0.9</v>
      </c>
      <c r="C175" s="238">
        <v>2.1</v>
      </c>
      <c r="D175" s="284">
        <v>4</v>
      </c>
      <c r="F175" s="244"/>
      <c r="G175" s="288"/>
      <c r="H175" s="238"/>
      <c r="I175" s="238">
        <f>B175*C175*D175*3</f>
        <v>22.68</v>
      </c>
      <c r="J175" s="238"/>
      <c r="K175" s="238"/>
      <c r="L175" s="284"/>
      <c r="M175" s="284"/>
      <c r="N175" s="284"/>
      <c r="O175" s="284"/>
      <c r="P175" s="284"/>
    </row>
    <row r="176" spans="1:16" x14ac:dyDescent="0.2">
      <c r="A176" s="283" t="s">
        <v>6</v>
      </c>
      <c r="B176" s="238">
        <v>0.6</v>
      </c>
      <c r="C176" s="238">
        <v>1.8</v>
      </c>
      <c r="D176" s="284">
        <v>4</v>
      </c>
      <c r="F176" s="244"/>
      <c r="G176" s="288"/>
      <c r="H176" s="238"/>
      <c r="I176" s="238"/>
      <c r="J176" s="238"/>
      <c r="K176" s="238"/>
      <c r="L176" s="284"/>
      <c r="M176" s="284"/>
      <c r="N176" s="284"/>
      <c r="O176" s="284"/>
      <c r="P176" s="284"/>
    </row>
    <row r="177" spans="1:16" x14ac:dyDescent="0.2">
      <c r="A177" s="283" t="s">
        <v>579</v>
      </c>
      <c r="B177" s="238">
        <v>1.8</v>
      </c>
      <c r="C177" s="238">
        <v>2.1</v>
      </c>
      <c r="D177" s="284">
        <v>1</v>
      </c>
      <c r="F177" s="244"/>
      <c r="G177" s="288"/>
      <c r="H177" s="238"/>
      <c r="I177" s="238"/>
      <c r="J177" s="238"/>
      <c r="K177" s="238"/>
      <c r="L177" s="284"/>
      <c r="M177" s="284"/>
      <c r="N177" s="284"/>
      <c r="O177" s="284"/>
      <c r="P177" s="284"/>
    </row>
    <row r="178" spans="1:16" ht="50.25" x14ac:dyDescent="0.2">
      <c r="A178" s="283" t="s">
        <v>748</v>
      </c>
      <c r="B178" s="238">
        <v>0.9</v>
      </c>
      <c r="C178" s="238">
        <v>0.9</v>
      </c>
      <c r="D178" s="453">
        <v>8</v>
      </c>
      <c r="E178" s="457" t="s">
        <v>555</v>
      </c>
      <c r="F178" s="244"/>
      <c r="G178" s="288"/>
      <c r="H178" s="238">
        <f t="shared" ref="H178:H183" si="39">B178*D178</f>
        <v>7.2</v>
      </c>
      <c r="I178" s="238"/>
      <c r="J178" s="554">
        <f t="shared" ref="J178:J183" si="40">D178*(B178+0.8)*0.15*0.1</f>
        <v>0.20400000000000001</v>
      </c>
      <c r="K178" s="238">
        <f t="shared" ref="K178:K183" si="41">J178</f>
        <v>0.20400000000000001</v>
      </c>
      <c r="L178" s="566">
        <f t="shared" ref="L178:L183" si="42">D179*(B178+0.8)*(0.1+0.1+0.15)</f>
        <v>0</v>
      </c>
      <c r="M178" s="284">
        <f t="shared" ref="M178:M183" si="43">L178</f>
        <v>0</v>
      </c>
      <c r="N178" s="303">
        <f t="shared" ref="N178:N183" si="44">B178*C178*D178*0.25</f>
        <v>1.62</v>
      </c>
      <c r="O178" s="547">
        <f t="shared" ref="O178:O183" si="45">2*(B178+C178)*D178</f>
        <v>28.8</v>
      </c>
      <c r="P178" s="284"/>
    </row>
    <row r="179" spans="1:16" x14ac:dyDescent="0.2">
      <c r="A179" s="283" t="s">
        <v>22</v>
      </c>
      <c r="B179" s="238">
        <v>0.9</v>
      </c>
      <c r="C179" s="238">
        <v>0.6</v>
      </c>
      <c r="D179" s="453"/>
      <c r="E179" s="457" t="s">
        <v>23</v>
      </c>
      <c r="F179" s="244"/>
      <c r="G179" s="288"/>
      <c r="H179" s="238">
        <f t="shared" si="39"/>
        <v>0</v>
      </c>
      <c r="I179" s="238"/>
      <c r="J179" s="554">
        <f t="shared" si="40"/>
        <v>0</v>
      </c>
      <c r="K179" s="238">
        <f t="shared" si="41"/>
        <v>0</v>
      </c>
      <c r="L179" s="566">
        <f t="shared" si="42"/>
        <v>2.38</v>
      </c>
      <c r="M179" s="284">
        <f t="shared" si="43"/>
        <v>2.38</v>
      </c>
      <c r="N179" s="303">
        <f t="shared" si="44"/>
        <v>0</v>
      </c>
      <c r="O179" s="547">
        <f t="shared" si="45"/>
        <v>0</v>
      </c>
      <c r="P179" s="284"/>
    </row>
    <row r="180" spans="1:16" ht="25.5" x14ac:dyDescent="0.2">
      <c r="A180" s="283" t="s">
        <v>756</v>
      </c>
      <c r="B180" s="238">
        <v>1.3</v>
      </c>
      <c r="C180" s="238">
        <v>0.85</v>
      </c>
      <c r="D180" s="453">
        <v>4</v>
      </c>
      <c r="E180" s="457" t="s">
        <v>556</v>
      </c>
      <c r="F180" s="244"/>
      <c r="G180" s="288"/>
      <c r="H180" s="238">
        <f t="shared" si="39"/>
        <v>5.2</v>
      </c>
      <c r="I180" s="238"/>
      <c r="J180" s="554">
        <f t="shared" si="40"/>
        <v>0.126</v>
      </c>
      <c r="K180" s="238">
        <f t="shared" si="41"/>
        <v>0.126</v>
      </c>
      <c r="L180" s="566">
        <f t="shared" si="42"/>
        <v>0.73499999999999999</v>
      </c>
      <c r="M180" s="284">
        <f t="shared" si="43"/>
        <v>0.73499999999999999</v>
      </c>
      <c r="N180" s="303">
        <f t="shared" si="44"/>
        <v>1.105</v>
      </c>
      <c r="O180" s="547">
        <f t="shared" si="45"/>
        <v>17.2</v>
      </c>
      <c r="P180" s="284"/>
    </row>
    <row r="181" spans="1:16" ht="17.25" x14ac:dyDescent="0.2">
      <c r="A181" s="283" t="s">
        <v>7</v>
      </c>
      <c r="B181" s="238">
        <v>1.3</v>
      </c>
      <c r="C181" s="238">
        <v>1.4</v>
      </c>
      <c r="D181" s="453">
        <v>1</v>
      </c>
      <c r="E181" s="457" t="s">
        <v>557</v>
      </c>
      <c r="F181" s="244"/>
      <c r="G181" s="288"/>
      <c r="H181" s="238">
        <f t="shared" si="39"/>
        <v>1.3</v>
      </c>
      <c r="I181" s="238"/>
      <c r="J181" s="554">
        <f t="shared" si="40"/>
        <v>3.15E-2</v>
      </c>
      <c r="K181" s="238">
        <f t="shared" si="41"/>
        <v>3.15E-2</v>
      </c>
      <c r="L181" s="566">
        <f t="shared" si="42"/>
        <v>0.73499999999999999</v>
      </c>
      <c r="M181" s="284">
        <f t="shared" si="43"/>
        <v>0.73499999999999999</v>
      </c>
      <c r="N181" s="303">
        <f t="shared" si="44"/>
        <v>0.45499999999999996</v>
      </c>
      <c r="O181" s="547">
        <f t="shared" si="45"/>
        <v>5.4</v>
      </c>
      <c r="P181" s="284">
        <f>1.3*0.85</f>
        <v>1.105</v>
      </c>
    </row>
    <row r="182" spans="1:16" x14ac:dyDescent="0.2">
      <c r="A182" s="283" t="s">
        <v>758</v>
      </c>
      <c r="B182" s="238">
        <v>2.4</v>
      </c>
      <c r="C182" s="238">
        <v>0.85</v>
      </c>
      <c r="D182" s="453">
        <v>1</v>
      </c>
      <c r="E182" s="457"/>
      <c r="F182" s="295"/>
      <c r="G182" s="306"/>
      <c r="H182" s="238">
        <f t="shared" si="39"/>
        <v>2.4</v>
      </c>
      <c r="I182" s="286"/>
      <c r="J182" s="554">
        <f t="shared" si="40"/>
        <v>4.8000000000000001E-2</v>
      </c>
      <c r="K182" s="238">
        <f t="shared" si="41"/>
        <v>4.8000000000000001E-2</v>
      </c>
      <c r="L182" s="566">
        <f t="shared" si="42"/>
        <v>1.1199999999999999</v>
      </c>
      <c r="M182" s="284">
        <f t="shared" si="43"/>
        <v>1.1199999999999999</v>
      </c>
      <c r="N182" s="303">
        <f t="shared" si="44"/>
        <v>0.51</v>
      </c>
      <c r="O182" s="547">
        <f t="shared" si="45"/>
        <v>6.5</v>
      </c>
      <c r="P182" s="284">
        <f>2.4*0.85</f>
        <v>2.04</v>
      </c>
    </row>
    <row r="183" spans="1:16" x14ac:dyDescent="0.2">
      <c r="A183" s="283" t="s">
        <v>758</v>
      </c>
      <c r="B183" s="238">
        <v>2.4</v>
      </c>
      <c r="C183" s="238">
        <v>0.85</v>
      </c>
      <c r="D183" s="453">
        <v>1</v>
      </c>
      <c r="E183" s="457" t="s">
        <v>8</v>
      </c>
      <c r="F183" s="295"/>
      <c r="G183" s="306"/>
      <c r="H183" s="238">
        <f t="shared" si="39"/>
        <v>2.4</v>
      </c>
      <c r="I183" s="286"/>
      <c r="J183" s="554">
        <f t="shared" si="40"/>
        <v>4.8000000000000001E-2</v>
      </c>
      <c r="K183" s="238">
        <f t="shared" si="41"/>
        <v>4.8000000000000001E-2</v>
      </c>
      <c r="L183" s="566">
        <f t="shared" si="42"/>
        <v>0</v>
      </c>
      <c r="M183" s="284">
        <f t="shared" si="43"/>
        <v>0</v>
      </c>
      <c r="N183" s="303">
        <f t="shared" si="44"/>
        <v>0.51</v>
      </c>
      <c r="O183" s="547">
        <f t="shared" si="45"/>
        <v>6.5</v>
      </c>
      <c r="P183" s="284"/>
    </row>
    <row r="184" spans="1:16" x14ac:dyDescent="0.2">
      <c r="A184" s="308"/>
      <c r="B184" s="309"/>
      <c r="C184" s="309"/>
      <c r="D184" s="310"/>
      <c r="F184" s="307">
        <f t="shared" ref="F184:P184" si="46">SUM(F171:F183)</f>
        <v>0</v>
      </c>
      <c r="G184" s="307">
        <f t="shared" si="46"/>
        <v>0</v>
      </c>
      <c r="H184" s="307">
        <f t="shared" si="46"/>
        <v>18.5</v>
      </c>
      <c r="I184" s="307">
        <f t="shared" si="46"/>
        <v>107.72999999999999</v>
      </c>
      <c r="J184" s="307">
        <f t="shared" si="46"/>
        <v>0.45750000000000002</v>
      </c>
      <c r="K184" s="307">
        <f t="shared" si="46"/>
        <v>0.45750000000000002</v>
      </c>
      <c r="L184" s="307">
        <f t="shared" si="46"/>
        <v>4.97</v>
      </c>
      <c r="M184" s="307">
        <f t="shared" si="46"/>
        <v>4.97</v>
      </c>
      <c r="N184" s="307">
        <f t="shared" si="46"/>
        <v>4.2</v>
      </c>
      <c r="O184" s="307">
        <f t="shared" si="46"/>
        <v>64.400000000000006</v>
      </c>
      <c r="P184" s="307">
        <f t="shared" si="46"/>
        <v>3.145</v>
      </c>
    </row>
    <row r="187" spans="1:16" x14ac:dyDescent="0.2">
      <c r="A187" s="931" t="s">
        <v>318</v>
      </c>
      <c r="B187" s="932"/>
      <c r="C187" s="932"/>
      <c r="D187" s="932"/>
      <c r="E187" s="932"/>
      <c r="F187" s="933"/>
      <c r="G187" s="215"/>
      <c r="J187" s="229"/>
      <c r="K187" s="229"/>
      <c r="L187" s="229"/>
      <c r="M187" s="229"/>
      <c r="N187" s="229"/>
      <c r="O187" s="229"/>
    </row>
    <row r="188" spans="1:16" ht="15.75" customHeight="1" x14ac:dyDescent="0.2">
      <c r="J188" s="953"/>
      <c r="K188" s="953"/>
      <c r="L188" s="953"/>
      <c r="M188" s="953"/>
      <c r="N188" s="953"/>
      <c r="O188" s="229"/>
    </row>
    <row r="189" spans="1:16" ht="15.75" customHeight="1" x14ac:dyDescent="0.2">
      <c r="A189" s="928" t="s">
        <v>431</v>
      </c>
      <c r="B189" s="929"/>
      <c r="C189" s="929"/>
      <c r="D189" s="930"/>
      <c r="E189" s="314"/>
      <c r="F189" s="332"/>
      <c r="J189" s="229"/>
      <c r="K189" s="229"/>
      <c r="L189" s="229"/>
      <c r="M189" s="229"/>
      <c r="N189" s="229"/>
      <c r="O189" s="229"/>
    </row>
    <row r="190" spans="1:16" x14ac:dyDescent="0.2">
      <c r="A190" s="329">
        <v>2.6</v>
      </c>
      <c r="B190" s="293"/>
      <c r="C190" s="296" t="s">
        <v>353</v>
      </c>
      <c r="D190" s="301" t="s">
        <v>351</v>
      </c>
      <c r="E190" s="314"/>
      <c r="F190" s="229"/>
      <c r="G190" s="561" t="s">
        <v>137</v>
      </c>
      <c r="H190" s="339" t="s">
        <v>451</v>
      </c>
      <c r="J190" s="229"/>
      <c r="K190" s="229"/>
      <c r="L190" s="229"/>
      <c r="M190" s="229"/>
      <c r="N190" s="229"/>
      <c r="O190" s="229"/>
    </row>
    <row r="191" spans="1:16" ht="11.25" customHeight="1" x14ac:dyDescent="0.2">
      <c r="A191" s="948" t="s">
        <v>124</v>
      </c>
      <c r="B191" s="330" t="s">
        <v>125</v>
      </c>
      <c r="C191" s="227">
        <v>15</v>
      </c>
      <c r="D191" s="228">
        <v>2.6</v>
      </c>
      <c r="E191" s="314"/>
      <c r="F191" s="302">
        <f>C191*D191</f>
        <v>39</v>
      </c>
      <c r="G191" s="562">
        <f>F191*2</f>
        <v>78</v>
      </c>
      <c r="H191" s="559">
        <f>G191</f>
        <v>78</v>
      </c>
    </row>
    <row r="192" spans="1:16" ht="11.25" customHeight="1" x14ac:dyDescent="0.2">
      <c r="A192" s="948"/>
      <c r="B192" s="481" t="s">
        <v>126</v>
      </c>
      <c r="C192" s="309">
        <f>1.5+1.3</f>
        <v>2.8</v>
      </c>
      <c r="D192" s="310">
        <v>2.6</v>
      </c>
      <c r="E192" s="314"/>
      <c r="F192" s="302">
        <f>C192*D192</f>
        <v>7.2799999999999994</v>
      </c>
      <c r="G192" s="303">
        <f>F192*2</f>
        <v>14.559999999999999</v>
      </c>
      <c r="H192" s="560">
        <f>G192</f>
        <v>14.559999999999999</v>
      </c>
    </row>
    <row r="193" spans="1:15" ht="12.75" x14ac:dyDescent="0.2">
      <c r="A193" s="329">
        <v>2.6</v>
      </c>
      <c r="B193" s="293"/>
      <c r="C193" s="296" t="s">
        <v>353</v>
      </c>
      <c r="D193" s="301" t="s">
        <v>351</v>
      </c>
      <c r="E193" s="314"/>
      <c r="F193" s="337">
        <f>F191+F192</f>
        <v>46.28</v>
      </c>
      <c r="G193" s="337">
        <f>SUM(G191:G192)</f>
        <v>92.56</v>
      </c>
      <c r="H193" s="337">
        <f>SUM(H191:H192)</f>
        <v>92.56</v>
      </c>
      <c r="J193" s="229"/>
      <c r="K193" s="229"/>
      <c r="L193" s="229"/>
      <c r="M193" s="229"/>
      <c r="N193" s="229"/>
      <c r="O193" s="229"/>
    </row>
    <row r="194" spans="1:15" x14ac:dyDescent="0.2">
      <c r="A194" s="937" t="s">
        <v>440</v>
      </c>
      <c r="B194" s="297"/>
      <c r="C194" s="238"/>
      <c r="D194" s="284"/>
      <c r="E194" s="314"/>
      <c r="F194" s="302">
        <f>C194*D194</f>
        <v>0</v>
      </c>
      <c r="G194" s="215"/>
      <c r="J194" s="229"/>
      <c r="K194" s="229"/>
      <c r="L194" s="229"/>
      <c r="M194" s="229"/>
      <c r="N194" s="229"/>
      <c r="O194" s="229"/>
    </row>
    <row r="195" spans="1:15" ht="11.25" customHeight="1" x14ac:dyDescent="0.2">
      <c r="A195" s="942"/>
      <c r="B195" s="297" t="s">
        <v>439</v>
      </c>
      <c r="C195" s="238">
        <f>2.13+7.08+1.06</f>
        <v>10.270000000000001</v>
      </c>
      <c r="D195" s="284">
        <v>2.6</v>
      </c>
      <c r="E195" s="314"/>
      <c r="F195" s="303">
        <f>C195*D195</f>
        <v>26.702000000000005</v>
      </c>
      <c r="G195" s="215"/>
      <c r="J195" s="229"/>
      <c r="K195" s="229"/>
      <c r="L195" s="229"/>
      <c r="M195" s="229"/>
      <c r="N195" s="229"/>
      <c r="O195" s="229"/>
    </row>
    <row r="196" spans="1:15" ht="11.25" customHeight="1" x14ac:dyDescent="0.2">
      <c r="A196" s="942"/>
      <c r="B196" s="283" t="s">
        <v>763</v>
      </c>
      <c r="C196" s="238">
        <f>3.4+8.52</f>
        <v>11.92</v>
      </c>
      <c r="D196" s="284">
        <v>2.6</v>
      </c>
      <c r="E196" s="314"/>
      <c r="F196" s="303">
        <f>C196*D196</f>
        <v>30.992000000000001</v>
      </c>
      <c r="G196" s="215"/>
      <c r="J196" s="229"/>
      <c r="K196" s="229"/>
      <c r="L196" s="229"/>
      <c r="M196" s="229"/>
      <c r="N196" s="229"/>
      <c r="O196" s="229"/>
    </row>
    <row r="197" spans="1:15" ht="12.75" customHeight="1" x14ac:dyDescent="0.2">
      <c r="A197" s="943"/>
      <c r="B197" s="300"/>
      <c r="C197" s="290"/>
      <c r="D197" s="291"/>
      <c r="E197" s="314"/>
      <c r="F197" s="337">
        <f>SUM(F194:F196)</f>
        <v>57.694000000000003</v>
      </c>
      <c r="G197" s="215"/>
    </row>
    <row r="198" spans="1:15" ht="15.75" customHeight="1" x14ac:dyDescent="0.2">
      <c r="A198" s="928" t="s">
        <v>435</v>
      </c>
      <c r="B198" s="929"/>
      <c r="C198" s="929"/>
      <c r="D198" s="930"/>
      <c r="E198" s="314"/>
      <c r="F198" s="332"/>
    </row>
    <row r="199" spans="1:15" x14ac:dyDescent="0.2">
      <c r="A199" s="329">
        <v>3.6</v>
      </c>
      <c r="B199" s="333"/>
      <c r="C199" s="334" t="s">
        <v>353</v>
      </c>
      <c r="D199" s="335" t="s">
        <v>351</v>
      </c>
      <c r="E199" s="314"/>
      <c r="F199" s="229"/>
      <c r="G199" s="215"/>
    </row>
    <row r="200" spans="1:15" x14ac:dyDescent="0.2">
      <c r="A200" s="936" t="s">
        <v>440</v>
      </c>
      <c r="B200" s="305" t="s">
        <v>764</v>
      </c>
      <c r="C200" s="227">
        <v>7.05</v>
      </c>
      <c r="D200" s="228">
        <v>3.6</v>
      </c>
      <c r="E200" s="314"/>
      <c r="F200" s="302">
        <f t="shared" ref="F200:F206" si="47">C200*D200</f>
        <v>25.38</v>
      </c>
      <c r="G200" s="215"/>
    </row>
    <row r="201" spans="1:15" ht="22.5" x14ac:dyDescent="0.2">
      <c r="A201" s="937"/>
      <c r="B201" s="574" t="s">
        <v>895</v>
      </c>
      <c r="C201" s="231">
        <v>1.5</v>
      </c>
      <c r="D201" s="282">
        <v>3.6</v>
      </c>
      <c r="E201" s="314"/>
      <c r="F201" s="303">
        <f t="shared" si="47"/>
        <v>5.4</v>
      </c>
      <c r="G201" s="215"/>
    </row>
    <row r="202" spans="1:15" ht="11.25" customHeight="1" x14ac:dyDescent="0.2">
      <c r="A202" s="938"/>
      <c r="B202" s="297" t="s">
        <v>441</v>
      </c>
      <c r="C202" s="238">
        <f>7+1.8+5.25</f>
        <v>14.05</v>
      </c>
      <c r="D202" s="284">
        <v>3.6</v>
      </c>
      <c r="E202" s="314"/>
      <c r="F202" s="303">
        <f t="shared" si="47"/>
        <v>50.580000000000005</v>
      </c>
      <c r="G202" s="215"/>
    </row>
    <row r="203" spans="1:15" ht="11.25" customHeight="1" x14ac:dyDescent="0.2">
      <c r="A203" s="938"/>
      <c r="B203" s="283" t="s">
        <v>765</v>
      </c>
      <c r="C203" s="238">
        <f>3.87+2.8</f>
        <v>6.67</v>
      </c>
      <c r="D203" s="284">
        <v>3.6</v>
      </c>
      <c r="E203" s="314"/>
      <c r="F203" s="303">
        <f t="shared" si="47"/>
        <v>24.012</v>
      </c>
      <c r="G203" s="215"/>
    </row>
    <row r="204" spans="1:15" ht="11.25" customHeight="1" x14ac:dyDescent="0.2">
      <c r="A204" s="938"/>
      <c r="B204" s="297" t="s">
        <v>442</v>
      </c>
      <c r="C204" s="238">
        <v>4</v>
      </c>
      <c r="D204" s="284">
        <v>3.6</v>
      </c>
      <c r="E204" s="314"/>
      <c r="F204" s="303">
        <f t="shared" si="47"/>
        <v>14.4</v>
      </c>
      <c r="G204" s="215"/>
    </row>
    <row r="205" spans="1:15" ht="11.25" customHeight="1" x14ac:dyDescent="0.2">
      <c r="A205" s="938"/>
      <c r="B205" s="297" t="s">
        <v>767</v>
      </c>
      <c r="C205" s="238">
        <f>2+2.78+3.06+2.88</f>
        <v>10.719999999999999</v>
      </c>
      <c r="D205" s="284">
        <v>3.6</v>
      </c>
      <c r="E205" s="314"/>
      <c r="F205" s="303">
        <f t="shared" si="47"/>
        <v>38.591999999999999</v>
      </c>
      <c r="G205" s="215"/>
    </row>
    <row r="206" spans="1:15" x14ac:dyDescent="0.2">
      <c r="A206" s="939"/>
      <c r="B206" s="289" t="s">
        <v>15</v>
      </c>
      <c r="C206" s="290">
        <f>16.25+1+3</f>
        <v>20.25</v>
      </c>
      <c r="D206" s="291">
        <v>3.6</v>
      </c>
      <c r="E206" s="314"/>
      <c r="F206" s="472">
        <f t="shared" si="47"/>
        <v>72.900000000000006</v>
      </c>
      <c r="G206" s="215"/>
    </row>
    <row r="207" spans="1:15" x14ac:dyDescent="0.2">
      <c r="A207" s="314"/>
      <c r="B207" s="314"/>
      <c r="C207" s="229"/>
      <c r="D207" s="299"/>
      <c r="E207" s="314"/>
      <c r="F207" s="473">
        <f>SUM(F200:F206)</f>
        <v>231.26400000000004</v>
      </c>
      <c r="G207" s="215"/>
    </row>
    <row r="208" spans="1:15" x14ac:dyDescent="0.2">
      <c r="A208" s="298"/>
      <c r="B208" s="314"/>
      <c r="C208" s="229"/>
      <c r="D208" s="299"/>
      <c r="E208" s="314"/>
      <c r="F208" s="229"/>
      <c r="G208" s="215"/>
    </row>
    <row r="209" spans="1:8" ht="22.5" x14ac:dyDescent="0.2">
      <c r="A209" s="925" t="s">
        <v>443</v>
      </c>
      <c r="B209" s="330" t="s">
        <v>770</v>
      </c>
      <c r="C209" s="227">
        <f>5.7+2.35+2.35+2.88+2.45+1.2</f>
        <v>16.93</v>
      </c>
      <c r="D209" s="228">
        <v>2.7</v>
      </c>
      <c r="E209" s="314"/>
      <c r="F209" s="302">
        <f>C209*D209</f>
        <v>45.711000000000006</v>
      </c>
      <c r="G209" s="215"/>
    </row>
    <row r="210" spans="1:8" x14ac:dyDescent="0.2">
      <c r="A210" s="957"/>
      <c r="B210" s="475" t="s">
        <v>771</v>
      </c>
      <c r="C210" s="233">
        <f>1.65+1.15+2.1+7.02+3.6+1.1+1.1</f>
        <v>17.720000000000002</v>
      </c>
      <c r="D210" s="234">
        <v>2.7</v>
      </c>
      <c r="E210" s="314"/>
      <c r="F210" s="303">
        <f>C210*D210</f>
        <v>47.844000000000008</v>
      </c>
      <c r="G210" s="215"/>
    </row>
    <row r="211" spans="1:8" x14ac:dyDescent="0.2">
      <c r="A211" s="957"/>
      <c r="B211" s="285" t="s">
        <v>768</v>
      </c>
      <c r="C211" s="286">
        <v>0.7</v>
      </c>
      <c r="D211" s="287">
        <v>2.1</v>
      </c>
      <c r="E211" s="314"/>
      <c r="F211" s="303">
        <f>C211*D211</f>
        <v>1.47</v>
      </c>
      <c r="G211" s="215"/>
    </row>
    <row r="212" spans="1:8" x14ac:dyDescent="0.2">
      <c r="A212" s="958"/>
      <c r="B212" s="331" t="s">
        <v>769</v>
      </c>
      <c r="C212" s="290">
        <f>3+1.7</f>
        <v>4.7</v>
      </c>
      <c r="D212" s="291">
        <v>2.7</v>
      </c>
      <c r="E212" s="314"/>
      <c r="F212" s="477">
        <f>C212*D212</f>
        <v>12.690000000000001</v>
      </c>
      <c r="G212" s="215"/>
    </row>
    <row r="213" spans="1:8" ht="12.75" x14ac:dyDescent="0.2">
      <c r="A213" s="298"/>
      <c r="B213" s="314"/>
      <c r="C213" s="229"/>
      <c r="D213" s="299"/>
      <c r="E213" s="314"/>
      <c r="F213" s="476">
        <f>SUM(F209:F212)</f>
        <v>107.715</v>
      </c>
      <c r="G213" s="215"/>
    </row>
    <row r="214" spans="1:8" ht="12.75" x14ac:dyDescent="0.2">
      <c r="A214" s="298"/>
      <c r="B214" s="314"/>
      <c r="C214" s="229"/>
      <c r="D214" s="299"/>
      <c r="E214" s="314"/>
      <c r="F214" s="474"/>
      <c r="G214" s="215"/>
    </row>
    <row r="215" spans="1:8" x14ac:dyDescent="0.2">
      <c r="A215" s="940" t="s">
        <v>446</v>
      </c>
      <c r="B215" s="330" t="s">
        <v>766</v>
      </c>
      <c r="C215" s="227">
        <f>10.38+4.92+1+2</f>
        <v>18.3</v>
      </c>
      <c r="D215" s="228">
        <v>3.6</v>
      </c>
      <c r="E215" s="314"/>
      <c r="F215" s="302">
        <f>C215*D215</f>
        <v>65.88000000000001</v>
      </c>
      <c r="G215" s="215"/>
    </row>
    <row r="216" spans="1:8" x14ac:dyDescent="0.2">
      <c r="A216" s="941"/>
      <c r="B216" s="331"/>
      <c r="C216" s="290"/>
      <c r="D216" s="291"/>
      <c r="E216" s="314"/>
      <c r="F216" s="303">
        <f>C216*D216</f>
        <v>0</v>
      </c>
      <c r="G216" s="215"/>
    </row>
    <row r="217" spans="1:8" ht="12.75" x14ac:dyDescent="0.2">
      <c r="A217" s="298"/>
      <c r="B217" s="314"/>
      <c r="C217" s="229"/>
      <c r="D217" s="299"/>
      <c r="E217" s="314"/>
      <c r="F217" s="337">
        <f>SUM(F215:F216)</f>
        <v>65.88000000000001</v>
      </c>
      <c r="G217" s="215"/>
    </row>
    <row r="218" spans="1:8" x14ac:dyDescent="0.2">
      <c r="A218" s="298"/>
      <c r="B218" s="314"/>
      <c r="C218" s="229"/>
      <c r="D218" s="299"/>
      <c r="E218" s="314"/>
      <c r="F218" s="229"/>
      <c r="G218" s="215"/>
    </row>
    <row r="219" spans="1:8" ht="11.25" customHeight="1" x14ac:dyDescent="0.2">
      <c r="A219" s="948" t="s">
        <v>17</v>
      </c>
      <c r="B219" s="330" t="s">
        <v>444</v>
      </c>
      <c r="C219" s="227">
        <f>3.24+4.61+5.71+0.8+2</f>
        <v>16.36</v>
      </c>
      <c r="D219" s="228">
        <v>3.6</v>
      </c>
      <c r="E219" s="314"/>
      <c r="F219" s="302">
        <f>C219*D219</f>
        <v>58.896000000000001</v>
      </c>
      <c r="G219" s="339" t="s">
        <v>137</v>
      </c>
      <c r="H219" s="339" t="s">
        <v>451</v>
      </c>
    </row>
    <row r="220" spans="1:8" ht="11.25" customHeight="1" x14ac:dyDescent="0.2">
      <c r="A220" s="948"/>
      <c r="B220" s="481" t="s">
        <v>16</v>
      </c>
      <c r="C220" s="309">
        <f>0.45+0.72+0.23</f>
        <v>1.4</v>
      </c>
      <c r="D220" s="310">
        <v>3.6</v>
      </c>
      <c r="E220" s="314"/>
      <c r="F220" s="302">
        <f>C220*D220</f>
        <v>5.04</v>
      </c>
      <c r="G220" s="303"/>
      <c r="H220" s="303"/>
    </row>
    <row r="221" spans="1:8" ht="12.75" x14ac:dyDescent="0.2">
      <c r="A221" s="298"/>
      <c r="B221" s="314"/>
      <c r="C221" s="229"/>
      <c r="D221" s="299"/>
      <c r="E221" s="314"/>
      <c r="F221" s="337">
        <f>SUM(F219:F220)</f>
        <v>63.936</v>
      </c>
      <c r="G221" s="337">
        <f>F221*2</f>
        <v>127.872</v>
      </c>
      <c r="H221" s="337">
        <f>G221</f>
        <v>127.872</v>
      </c>
    </row>
    <row r="222" spans="1:8" ht="12.75" x14ac:dyDescent="0.2">
      <c r="A222" s="298"/>
      <c r="B222" s="314"/>
      <c r="C222" s="229"/>
      <c r="D222" s="299"/>
      <c r="E222" s="314"/>
      <c r="F222" s="474"/>
      <c r="G222" s="474"/>
      <c r="H222" s="474"/>
    </row>
    <row r="223" spans="1:8" x14ac:dyDescent="0.2">
      <c r="A223" s="298"/>
      <c r="B223" s="314"/>
      <c r="C223" s="229"/>
      <c r="D223" s="299"/>
      <c r="E223" s="314"/>
      <c r="F223" s="302"/>
      <c r="G223" s="339" t="s">
        <v>137</v>
      </c>
      <c r="H223" s="339" t="s">
        <v>451</v>
      </c>
    </row>
    <row r="224" spans="1:8" ht="12.75" x14ac:dyDescent="0.2">
      <c r="A224" s="915" t="s">
        <v>52</v>
      </c>
      <c r="B224" s="305" t="s">
        <v>53</v>
      </c>
      <c r="C224" s="227">
        <v>42</v>
      </c>
      <c r="D224" s="228">
        <v>2.7</v>
      </c>
      <c r="E224" s="314"/>
      <c r="F224" s="302"/>
      <c r="G224" s="302"/>
      <c r="H224" s="337">
        <f>C224*D224</f>
        <v>113.4</v>
      </c>
    </row>
    <row r="225" spans="1:8" ht="12.75" x14ac:dyDescent="0.2">
      <c r="A225" s="915"/>
      <c r="B225" s="481" t="s">
        <v>410</v>
      </c>
      <c r="C225" s="309">
        <v>17</v>
      </c>
      <c r="D225" s="310">
        <v>2.7</v>
      </c>
      <c r="E225" s="314"/>
      <c r="F225" s="337"/>
      <c r="G225" s="337"/>
      <c r="H225" s="337">
        <f>C225*D225</f>
        <v>45.900000000000006</v>
      </c>
    </row>
    <row r="226" spans="1:8" x14ac:dyDescent="0.2">
      <c r="A226" s="298"/>
      <c r="B226" s="314"/>
      <c r="C226" s="229"/>
      <c r="D226" s="299"/>
      <c r="E226" s="314"/>
      <c r="F226" s="215"/>
      <c r="G226" s="215"/>
    </row>
    <row r="227" spans="1:8" x14ac:dyDescent="0.2">
      <c r="A227" s="298"/>
      <c r="B227" s="314"/>
      <c r="C227" s="229"/>
      <c r="D227" s="299"/>
      <c r="E227" s="314"/>
      <c r="F227" s="229"/>
      <c r="G227" s="215"/>
    </row>
    <row r="228" spans="1:8" ht="15.75" customHeight="1" x14ac:dyDescent="0.2">
      <c r="A228" s="928" t="s">
        <v>436</v>
      </c>
      <c r="B228" s="929"/>
      <c r="C228" s="929"/>
      <c r="D228" s="930"/>
      <c r="E228" s="314"/>
      <c r="F228" s="332"/>
    </row>
    <row r="229" spans="1:8" x14ac:dyDescent="0.2">
      <c r="A229" s="311">
        <v>2.7</v>
      </c>
      <c r="B229" s="333"/>
      <c r="C229" s="334" t="s">
        <v>353</v>
      </c>
      <c r="D229" s="335" t="s">
        <v>351</v>
      </c>
      <c r="E229" s="314"/>
      <c r="F229" s="229"/>
      <c r="G229" s="215"/>
    </row>
    <row r="230" spans="1:8" x14ac:dyDescent="0.2">
      <c r="A230" s="921" t="s">
        <v>440</v>
      </c>
      <c r="B230" s="340" t="s">
        <v>10</v>
      </c>
      <c r="C230" s="557">
        <f>2.9+7.38+4.71</f>
        <v>14.989999999999998</v>
      </c>
      <c r="D230" s="302">
        <v>2.7</v>
      </c>
      <c r="E230" s="314"/>
      <c r="F230" s="302">
        <f>C230*D230</f>
        <v>40.472999999999999</v>
      </c>
      <c r="G230" s="215"/>
    </row>
    <row r="231" spans="1:8" ht="22.5" x14ac:dyDescent="0.2">
      <c r="A231" s="922"/>
      <c r="B231" s="341" t="s">
        <v>445</v>
      </c>
      <c r="C231" s="545">
        <f>2+4+6.63+5.16+3.57+3.57</f>
        <v>24.93</v>
      </c>
      <c r="D231" s="303">
        <v>2.7</v>
      </c>
      <c r="E231" s="314"/>
      <c r="F231" s="303">
        <f>C231*D231</f>
        <v>67.311000000000007</v>
      </c>
      <c r="G231" s="215"/>
    </row>
    <row r="232" spans="1:8" ht="22.5" x14ac:dyDescent="0.2">
      <c r="A232" s="923"/>
      <c r="B232" s="575" t="s">
        <v>895</v>
      </c>
      <c r="C232" s="231">
        <v>1.5</v>
      </c>
      <c r="D232" s="282">
        <v>3.6</v>
      </c>
      <c r="E232" s="314"/>
      <c r="F232" s="303">
        <f>C232*D232</f>
        <v>5.4</v>
      </c>
      <c r="G232" s="215"/>
    </row>
    <row r="233" spans="1:8" x14ac:dyDescent="0.2">
      <c r="A233" s="923"/>
      <c r="B233" s="576" t="s">
        <v>403</v>
      </c>
      <c r="C233" s="546">
        <f>2.6+1.72</f>
        <v>4.32</v>
      </c>
      <c r="D233" s="472">
        <v>2.7</v>
      </c>
      <c r="E233" s="314"/>
      <c r="F233" s="303">
        <f>C233*D233</f>
        <v>11.664000000000001</v>
      </c>
      <c r="G233" s="215"/>
    </row>
    <row r="234" spans="1:8" x14ac:dyDescent="0.2">
      <c r="A234" s="924"/>
      <c r="B234" s="577" t="s">
        <v>11</v>
      </c>
      <c r="C234" s="558">
        <f>1.75*2</f>
        <v>3.5</v>
      </c>
      <c r="D234" s="477">
        <v>2.7</v>
      </c>
      <c r="E234" s="314"/>
      <c r="F234" s="303">
        <f>C234*D234</f>
        <v>9.4500000000000011</v>
      </c>
      <c r="G234" s="215"/>
    </row>
    <row r="235" spans="1:8" ht="12.75" x14ac:dyDescent="0.2">
      <c r="A235" s="298"/>
      <c r="B235" s="314"/>
      <c r="C235" s="229"/>
      <c r="D235" s="299"/>
      <c r="E235" s="314"/>
      <c r="F235" s="337">
        <f>SUM(F230:F234)</f>
        <v>134.298</v>
      </c>
      <c r="G235" s="215"/>
    </row>
    <row r="236" spans="1:8" x14ac:dyDescent="0.2">
      <c r="A236" s="298"/>
      <c r="B236" s="314"/>
      <c r="C236" s="229"/>
      <c r="D236" s="299"/>
      <c r="E236" s="314"/>
      <c r="F236" s="229"/>
      <c r="G236" s="215"/>
    </row>
    <row r="237" spans="1:8" x14ac:dyDescent="0.2">
      <c r="A237" s="925" t="s">
        <v>443</v>
      </c>
      <c r="B237" s="330" t="s">
        <v>447</v>
      </c>
      <c r="C237" s="227">
        <f>2.3+1.38</f>
        <v>3.6799999999999997</v>
      </c>
      <c r="D237" s="302">
        <v>2.7</v>
      </c>
      <c r="E237" s="314"/>
      <c r="F237" s="302">
        <f>C237*D237</f>
        <v>9.9359999999999999</v>
      </c>
      <c r="G237" s="215"/>
    </row>
    <row r="238" spans="1:8" ht="11.25" customHeight="1" x14ac:dyDescent="0.2">
      <c r="A238" s="926"/>
      <c r="B238" s="336" t="s">
        <v>448</v>
      </c>
      <c r="C238" s="238">
        <f>3.24+1.7+2.8+4.75+0.77</f>
        <v>13.26</v>
      </c>
      <c r="D238" s="303">
        <v>2.7</v>
      </c>
      <c r="E238" s="314"/>
      <c r="F238" s="303">
        <f>C238*D238</f>
        <v>35.802</v>
      </c>
      <c r="G238" s="215"/>
    </row>
    <row r="239" spans="1:8" ht="11.25" customHeight="1" x14ac:dyDescent="0.2">
      <c r="A239" s="926"/>
      <c r="B239" s="336" t="s">
        <v>449</v>
      </c>
      <c r="C239" s="238">
        <f>1.41+2.4+2.05</f>
        <v>5.8599999999999994</v>
      </c>
      <c r="D239" s="472">
        <v>2.7</v>
      </c>
      <c r="E239" s="314"/>
      <c r="F239" s="303">
        <f>C239*D239</f>
        <v>15.821999999999999</v>
      </c>
      <c r="G239" s="215"/>
    </row>
    <row r="240" spans="1:8" ht="11.25" customHeight="1" x14ac:dyDescent="0.2">
      <c r="A240" s="927"/>
      <c r="B240" s="331" t="s">
        <v>438</v>
      </c>
      <c r="C240" s="290">
        <f>2.05*2</f>
        <v>4.0999999999999996</v>
      </c>
      <c r="D240" s="477">
        <v>2.7</v>
      </c>
      <c r="E240" s="314"/>
      <c r="F240" s="303">
        <f>C240*D240</f>
        <v>11.07</v>
      </c>
      <c r="G240" s="215"/>
    </row>
    <row r="241" spans="1:7" ht="12.75" x14ac:dyDescent="0.2">
      <c r="A241" s="298"/>
      <c r="B241" s="314"/>
      <c r="C241" s="229"/>
      <c r="D241" s="299"/>
      <c r="E241" s="314"/>
      <c r="F241" s="337">
        <f>SUM(F237:F240)</f>
        <v>72.63</v>
      </c>
      <c r="G241" s="215"/>
    </row>
    <row r="242" spans="1:7" x14ac:dyDescent="0.2">
      <c r="A242" s="298"/>
      <c r="B242" s="314"/>
      <c r="C242" s="229"/>
      <c r="D242" s="299"/>
      <c r="E242" s="314"/>
      <c r="F242" s="229"/>
      <c r="G242" s="215"/>
    </row>
    <row r="243" spans="1:7" x14ac:dyDescent="0.2">
      <c r="A243" s="940" t="s">
        <v>446</v>
      </c>
      <c r="B243" s="330" t="s">
        <v>12</v>
      </c>
      <c r="C243" s="227">
        <f>7.76+2+3.6+1.8+7</f>
        <v>22.16</v>
      </c>
      <c r="D243" s="228">
        <v>2.8</v>
      </c>
      <c r="E243" s="314"/>
      <c r="F243" s="302">
        <f>C243*D243</f>
        <v>62.047999999999995</v>
      </c>
      <c r="G243" s="215"/>
    </row>
    <row r="244" spans="1:7" ht="22.5" x14ac:dyDescent="0.2">
      <c r="A244" s="941"/>
      <c r="B244" s="331" t="s">
        <v>450</v>
      </c>
      <c r="C244" s="290">
        <f>4+8.5+6.5+3.9</f>
        <v>22.9</v>
      </c>
      <c r="D244" s="291">
        <v>2.8</v>
      </c>
      <c r="E244" s="314"/>
      <c r="F244" s="303">
        <f>C244*D244</f>
        <v>64.11999999999999</v>
      </c>
      <c r="G244" s="215"/>
    </row>
    <row r="245" spans="1:7" ht="12.75" x14ac:dyDescent="0.2">
      <c r="A245" s="298"/>
      <c r="B245" s="314"/>
      <c r="C245" s="229"/>
      <c r="D245" s="229"/>
      <c r="E245" s="314"/>
      <c r="F245" s="337">
        <f>SUM(F243:F244)</f>
        <v>126.16799999999998</v>
      </c>
      <c r="G245" s="215"/>
    </row>
    <row r="246" spans="1:7" ht="12.75" x14ac:dyDescent="0.2">
      <c r="A246" s="298"/>
      <c r="B246" s="314"/>
      <c r="C246" s="229"/>
      <c r="D246" s="229"/>
      <c r="E246" s="314"/>
      <c r="F246" s="474"/>
      <c r="G246" s="215"/>
    </row>
    <row r="247" spans="1:7" ht="12.75" x14ac:dyDescent="0.2">
      <c r="A247" s="298"/>
      <c r="B247" s="314"/>
      <c r="C247" s="229"/>
      <c r="D247" s="229"/>
      <c r="E247" s="314"/>
      <c r="F247" s="474"/>
      <c r="G247" s="215"/>
    </row>
    <row r="248" spans="1:7" x14ac:dyDescent="0.2">
      <c r="A248" s="298"/>
      <c r="B248" s="314"/>
      <c r="C248" s="229"/>
      <c r="D248" s="229"/>
      <c r="E248" s="314"/>
      <c r="F248" s="229"/>
      <c r="G248" s="215"/>
    </row>
    <row r="249" spans="1:7" ht="15.75" customHeight="1" x14ac:dyDescent="0.2">
      <c r="A249" s="928" t="s">
        <v>437</v>
      </c>
      <c r="B249" s="929"/>
      <c r="C249" s="929"/>
      <c r="D249" s="930"/>
      <c r="E249" s="314"/>
      <c r="F249" s="332"/>
    </row>
    <row r="250" spans="1:7" x14ac:dyDescent="0.2">
      <c r="A250" s="311">
        <v>2.7</v>
      </c>
      <c r="B250" s="333"/>
      <c r="C250" s="334" t="s">
        <v>353</v>
      </c>
      <c r="D250" s="335" t="s">
        <v>351</v>
      </c>
      <c r="E250" s="314"/>
      <c r="F250" s="229"/>
      <c r="G250" s="215"/>
    </row>
    <row r="251" spans="1:7" x14ac:dyDescent="0.2">
      <c r="A251" s="936" t="s">
        <v>440</v>
      </c>
      <c r="B251" s="330" t="s">
        <v>13</v>
      </c>
      <c r="C251" s="227">
        <f>4.7+2.92+7.38</f>
        <v>15</v>
      </c>
      <c r="D251" s="228">
        <v>2.7</v>
      </c>
      <c r="E251" s="314"/>
      <c r="F251" s="302">
        <f>C251*D251</f>
        <v>40.5</v>
      </c>
      <c r="G251" s="215"/>
    </row>
    <row r="252" spans="1:7" ht="22.5" x14ac:dyDescent="0.2">
      <c r="A252" s="938"/>
      <c r="B252" s="297" t="s">
        <v>445</v>
      </c>
      <c r="C252" s="238">
        <f>2+4+6.63+5.16+3.57+3.57</f>
        <v>24.93</v>
      </c>
      <c r="D252" s="284">
        <v>2.7</v>
      </c>
      <c r="E252" s="314"/>
      <c r="F252" s="303">
        <f>C252*D252</f>
        <v>67.311000000000007</v>
      </c>
      <c r="G252" s="215"/>
    </row>
    <row r="253" spans="1:7" x14ac:dyDescent="0.2">
      <c r="A253" s="939"/>
      <c r="B253" s="289" t="s">
        <v>14</v>
      </c>
      <c r="C253" s="290">
        <v>2.81</v>
      </c>
      <c r="D253" s="291">
        <v>2.7</v>
      </c>
      <c r="E253" s="314"/>
      <c r="F253" s="303">
        <f>C253*D253</f>
        <v>7.5870000000000006</v>
      </c>
      <c r="G253" s="215"/>
    </row>
    <row r="254" spans="1:7" ht="12.75" x14ac:dyDescent="0.2">
      <c r="A254" s="298"/>
      <c r="B254" s="314"/>
      <c r="C254" s="229"/>
      <c r="D254" s="299"/>
      <c r="E254" s="314"/>
      <c r="F254" s="337">
        <f>SUM(F251:F253)</f>
        <v>115.39800000000001</v>
      </c>
      <c r="G254" s="215"/>
    </row>
    <row r="255" spans="1:7" x14ac:dyDescent="0.2">
      <c r="A255" s="298"/>
      <c r="B255" s="314"/>
      <c r="C255" s="229"/>
      <c r="D255" s="299"/>
      <c r="E255" s="314"/>
      <c r="F255" s="229"/>
      <c r="G255" s="215"/>
    </row>
    <row r="256" spans="1:7" x14ac:dyDescent="0.2">
      <c r="A256" s="954" t="s">
        <v>443</v>
      </c>
      <c r="B256" s="305" t="s">
        <v>447</v>
      </c>
      <c r="C256" s="227">
        <f>2.3+1.5</f>
        <v>3.8</v>
      </c>
      <c r="D256" s="228">
        <v>2.7</v>
      </c>
      <c r="E256" s="314"/>
      <c r="F256" s="302">
        <f>C256*D256</f>
        <v>10.26</v>
      </c>
      <c r="G256" s="215"/>
    </row>
    <row r="257" spans="1:7" ht="11.25" customHeight="1" x14ac:dyDescent="0.2">
      <c r="A257" s="955"/>
      <c r="B257" s="297" t="s">
        <v>448</v>
      </c>
      <c r="C257" s="238">
        <f>3.24+1.7+2.8+4.75+0.77</f>
        <v>13.26</v>
      </c>
      <c r="D257" s="284">
        <v>2.7</v>
      </c>
      <c r="E257" s="314"/>
      <c r="F257" s="303">
        <f>C257*D257</f>
        <v>35.802</v>
      </c>
      <c r="G257" s="215"/>
    </row>
    <row r="258" spans="1:7" ht="11.25" customHeight="1" x14ac:dyDescent="0.2">
      <c r="A258" s="955"/>
      <c r="B258" s="297" t="s">
        <v>449</v>
      </c>
      <c r="C258" s="238">
        <f>1.41+2.4+2.05</f>
        <v>5.8599999999999994</v>
      </c>
      <c r="D258" s="284">
        <v>2.7</v>
      </c>
      <c r="E258" s="314"/>
      <c r="F258" s="303">
        <f>C258*D258</f>
        <v>15.821999999999999</v>
      </c>
      <c r="G258" s="215"/>
    </row>
    <row r="259" spans="1:7" ht="11.25" customHeight="1" x14ac:dyDescent="0.2">
      <c r="A259" s="956"/>
      <c r="B259" s="304" t="s">
        <v>438</v>
      </c>
      <c r="C259" s="290">
        <v>7.66</v>
      </c>
      <c r="D259" s="291">
        <v>2.7</v>
      </c>
      <c r="E259" s="314"/>
      <c r="F259" s="303">
        <f>C259*D259</f>
        <v>20.682000000000002</v>
      </c>
      <c r="G259" s="215"/>
    </row>
    <row r="260" spans="1:7" ht="12.75" x14ac:dyDescent="0.2">
      <c r="A260" s="298"/>
      <c r="B260" s="314"/>
      <c r="C260" s="229"/>
      <c r="D260" s="299"/>
      <c r="E260" s="314"/>
      <c r="F260" s="337">
        <f>SUM(F256:F259)</f>
        <v>82.566000000000003</v>
      </c>
      <c r="G260" s="215"/>
    </row>
    <row r="261" spans="1:7" x14ac:dyDescent="0.2">
      <c r="A261" s="298"/>
      <c r="B261" s="314"/>
      <c r="C261" s="229"/>
      <c r="D261" s="299"/>
      <c r="E261" s="314"/>
      <c r="F261" s="229"/>
      <c r="G261" s="215"/>
    </row>
    <row r="262" spans="1:7" x14ac:dyDescent="0.2">
      <c r="A262" s="934" t="s">
        <v>446</v>
      </c>
      <c r="B262" s="305" t="s">
        <v>18</v>
      </c>
      <c r="C262" s="227">
        <f>2.05+9.6+2.05+1.9+2.15+2.15</f>
        <v>19.899999999999999</v>
      </c>
      <c r="D262" s="228">
        <v>2.8</v>
      </c>
      <c r="E262" s="314"/>
      <c r="F262" s="302">
        <f>C262*D262</f>
        <v>55.719999999999992</v>
      </c>
      <c r="G262" s="215"/>
    </row>
    <row r="263" spans="1:7" ht="22.5" x14ac:dyDescent="0.2">
      <c r="A263" s="935"/>
      <c r="B263" s="482" t="s">
        <v>450</v>
      </c>
      <c r="C263" s="286">
        <f>2.5+8.4+6.5+4.27+3.6</f>
        <v>25.27</v>
      </c>
      <c r="D263" s="287">
        <v>2.8</v>
      </c>
      <c r="E263" s="314"/>
      <c r="F263" s="303">
        <f>C263*D263</f>
        <v>70.756</v>
      </c>
      <c r="G263" s="215"/>
    </row>
    <row r="264" spans="1:7" ht="12.75" x14ac:dyDescent="0.2">
      <c r="A264" s="480"/>
      <c r="B264" s="454"/>
      <c r="C264" s="480"/>
      <c r="D264" s="480"/>
      <c r="E264" s="314"/>
      <c r="F264" s="337">
        <f>SUM(F262:F263)</f>
        <v>126.476</v>
      </c>
      <c r="G264" s="215"/>
    </row>
    <row r="265" spans="1:7" ht="12.75" x14ac:dyDescent="0.2">
      <c r="A265" s="229"/>
      <c r="B265" s="314"/>
      <c r="C265" s="229"/>
      <c r="D265" s="229"/>
      <c r="E265" s="314"/>
      <c r="F265" s="474"/>
      <c r="G265" s="215"/>
    </row>
    <row r="267" spans="1:7" ht="15" x14ac:dyDescent="0.25">
      <c r="A267" s="918" t="s">
        <v>881</v>
      </c>
      <c r="B267" s="919"/>
      <c r="C267" s="919"/>
      <c r="D267" s="920"/>
      <c r="E267" s="314"/>
      <c r="F267" s="215"/>
      <c r="G267" s="229"/>
    </row>
    <row r="269" spans="1:7" x14ac:dyDescent="0.2">
      <c r="A269" s="928" t="s">
        <v>435</v>
      </c>
      <c r="B269" s="929"/>
      <c r="C269" s="929"/>
      <c r="D269" s="930"/>
      <c r="E269" s="314"/>
      <c r="F269" s="215"/>
      <c r="G269" s="215"/>
    </row>
    <row r="270" spans="1:7" x14ac:dyDescent="0.2">
      <c r="A270" s="328"/>
      <c r="B270" s="333"/>
      <c r="C270" s="334"/>
      <c r="D270" s="335"/>
      <c r="E270" s="314"/>
      <c r="F270" s="215"/>
      <c r="G270" s="215"/>
    </row>
    <row r="271" spans="1:7" x14ac:dyDescent="0.2">
      <c r="A271" s="916" t="s">
        <v>879</v>
      </c>
      <c r="B271" s="326" t="s">
        <v>880</v>
      </c>
      <c r="C271" s="326" t="s">
        <v>274</v>
      </c>
      <c r="D271" s="570"/>
      <c r="E271" s="314"/>
      <c r="F271" s="215"/>
      <c r="G271" s="215"/>
    </row>
    <row r="272" spans="1:7" ht="12.75" x14ac:dyDescent="0.2">
      <c r="A272" s="917"/>
      <c r="B272" s="571">
        <f>(8+3.5+1)</f>
        <v>12.5</v>
      </c>
      <c r="C272" s="570">
        <v>8</v>
      </c>
      <c r="D272" s="401">
        <f>B272*C272</f>
        <v>100</v>
      </c>
      <c r="E272" s="314"/>
      <c r="F272" s="215"/>
      <c r="G272" s="215"/>
    </row>
    <row r="273" spans="1:7" s="229" customFormat="1" x14ac:dyDescent="0.2">
      <c r="B273" s="314"/>
      <c r="E273" s="314"/>
      <c r="F273" s="215"/>
      <c r="G273" s="215"/>
    </row>
    <row r="274" spans="1:7" x14ac:dyDescent="0.2">
      <c r="A274" s="928" t="s">
        <v>436</v>
      </c>
      <c r="B274" s="929"/>
      <c r="C274" s="929"/>
      <c r="D274" s="930"/>
      <c r="E274" s="314"/>
      <c r="F274" s="215"/>
      <c r="G274" s="215"/>
    </row>
    <row r="275" spans="1:7" x14ac:dyDescent="0.2">
      <c r="A275" s="328"/>
      <c r="B275" s="333"/>
      <c r="C275" s="334"/>
      <c r="D275" s="335"/>
      <c r="E275" s="314"/>
      <c r="F275" s="215"/>
      <c r="G275" s="215"/>
    </row>
    <row r="276" spans="1:7" x14ac:dyDescent="0.2">
      <c r="A276" s="569" t="s">
        <v>879</v>
      </c>
      <c r="B276" s="326" t="s">
        <v>880</v>
      </c>
      <c r="C276" s="326" t="s">
        <v>274</v>
      </c>
      <c r="D276" s="570"/>
      <c r="E276" s="314"/>
      <c r="F276" s="215"/>
      <c r="G276" s="215"/>
    </row>
    <row r="277" spans="1:7" ht="15" x14ac:dyDescent="0.2">
      <c r="A277" s="572"/>
      <c r="B277" s="571">
        <f>(8+3.5+1)</f>
        <v>12.5</v>
      </c>
      <c r="C277" s="570">
        <v>10</v>
      </c>
      <c r="D277" s="401">
        <f>B277*C277</f>
        <v>125</v>
      </c>
      <c r="E277" s="314"/>
      <c r="F277" s="215"/>
      <c r="G277" s="215"/>
    </row>
    <row r="278" spans="1:7" s="229" customFormat="1" x14ac:dyDescent="0.2">
      <c r="B278" s="314"/>
      <c r="E278" s="314"/>
      <c r="F278" s="215"/>
      <c r="G278" s="215"/>
    </row>
    <row r="279" spans="1:7" x14ac:dyDescent="0.2">
      <c r="A279" s="928" t="s">
        <v>437</v>
      </c>
      <c r="B279" s="929"/>
      <c r="C279" s="929"/>
      <c r="D279" s="930"/>
      <c r="E279" s="314"/>
      <c r="F279" s="215"/>
      <c r="G279" s="215"/>
    </row>
    <row r="280" spans="1:7" x14ac:dyDescent="0.2">
      <c r="A280" s="328"/>
      <c r="B280" s="333"/>
      <c r="C280" s="334"/>
      <c r="D280" s="335"/>
      <c r="E280" s="314"/>
      <c r="F280" s="215"/>
      <c r="G280" s="215"/>
    </row>
    <row r="281" spans="1:7" x14ac:dyDescent="0.2">
      <c r="A281" s="569" t="s">
        <v>879</v>
      </c>
      <c r="B281" s="326" t="s">
        <v>880</v>
      </c>
      <c r="C281" s="326" t="s">
        <v>274</v>
      </c>
      <c r="D281" s="570"/>
      <c r="E281" s="314"/>
      <c r="F281" s="215"/>
      <c r="G281" s="215"/>
    </row>
    <row r="282" spans="1:7" ht="15" x14ac:dyDescent="0.2">
      <c r="A282" s="572"/>
      <c r="B282" s="571">
        <f>(8+3.5+1)</f>
        <v>12.5</v>
      </c>
      <c r="C282" s="570">
        <v>10</v>
      </c>
      <c r="D282" s="401">
        <f>B282*C282</f>
        <v>125</v>
      </c>
      <c r="E282" s="314"/>
      <c r="F282" s="215"/>
      <c r="G282" s="215"/>
    </row>
    <row r="283" spans="1:7" x14ac:dyDescent="0.2">
      <c r="F283" s="215"/>
      <c r="G283" s="215"/>
    </row>
    <row r="284" spans="1:7" ht="15" x14ac:dyDescent="0.25">
      <c r="A284" s="909" t="s">
        <v>296</v>
      </c>
      <c r="B284" s="910"/>
      <c r="C284" s="910"/>
      <c r="D284" s="911"/>
      <c r="F284" s="215"/>
      <c r="G284" s="215"/>
    </row>
    <row r="285" spans="1:7" x14ac:dyDescent="0.2">
      <c r="A285" s="283"/>
      <c r="B285" s="213" t="s">
        <v>541</v>
      </c>
      <c r="C285" s="213" t="s">
        <v>542</v>
      </c>
      <c r="D285" s="214" t="s">
        <v>274</v>
      </c>
      <c r="F285" s="215"/>
      <c r="G285" s="215"/>
    </row>
    <row r="286" spans="1:7" x14ac:dyDescent="0.2">
      <c r="A286" s="283" t="s">
        <v>538</v>
      </c>
      <c r="B286" s="238">
        <v>115</v>
      </c>
      <c r="C286" s="238"/>
      <c r="D286" s="438">
        <f>B286</f>
        <v>115</v>
      </c>
    </row>
    <row r="287" spans="1:7" x14ac:dyDescent="0.2">
      <c r="A287" s="283" t="s">
        <v>539</v>
      </c>
      <c r="B287" s="238">
        <f>35+2.3+15.5+40+4</f>
        <v>96.8</v>
      </c>
      <c r="C287" s="238"/>
      <c r="D287" s="438">
        <f>B287</f>
        <v>96.8</v>
      </c>
    </row>
    <row r="288" spans="1:7" ht="22.5" x14ac:dyDescent="0.2">
      <c r="A288" s="297" t="s">
        <v>540</v>
      </c>
      <c r="B288" s="238">
        <v>13</v>
      </c>
      <c r="C288" s="238">
        <v>1</v>
      </c>
      <c r="D288" s="438">
        <f>B288*C288</f>
        <v>13</v>
      </c>
    </row>
    <row r="289" spans="1:7" ht="33.75" x14ac:dyDescent="0.2">
      <c r="A289" s="297" t="s">
        <v>45</v>
      </c>
      <c r="B289" s="238">
        <v>3</v>
      </c>
      <c r="C289" s="238">
        <v>1.25</v>
      </c>
      <c r="D289" s="438">
        <f>B289*C289</f>
        <v>3.75</v>
      </c>
    </row>
    <row r="290" spans="1:7" ht="45" x14ac:dyDescent="0.2">
      <c r="A290" s="297" t="s">
        <v>46</v>
      </c>
      <c r="B290" s="238">
        <v>2.15</v>
      </c>
      <c r="C290" s="238">
        <v>2.5</v>
      </c>
      <c r="D290" s="438">
        <f>B290*C290</f>
        <v>5.375</v>
      </c>
    </row>
    <row r="291" spans="1:7" x14ac:dyDescent="0.2">
      <c r="B291" s="216"/>
      <c r="C291" s="216"/>
      <c r="F291" s="215"/>
      <c r="G291" s="215"/>
    </row>
    <row r="292" spans="1:7" ht="15" x14ac:dyDescent="0.25">
      <c r="A292" s="909" t="s">
        <v>543</v>
      </c>
      <c r="B292" s="910"/>
      <c r="C292" s="910"/>
      <c r="D292" s="911"/>
    </row>
    <row r="293" spans="1:7" x14ac:dyDescent="0.2">
      <c r="A293" s="283"/>
      <c r="B293" s="213" t="s">
        <v>541</v>
      </c>
      <c r="C293" s="213" t="s">
        <v>542</v>
      </c>
      <c r="D293" s="214" t="s">
        <v>274</v>
      </c>
    </row>
    <row r="294" spans="1:7" ht="22.5" x14ac:dyDescent="0.2">
      <c r="A294" s="297" t="s">
        <v>544</v>
      </c>
      <c r="B294" s="238">
        <f>44+14+11</f>
        <v>69</v>
      </c>
      <c r="C294" s="238">
        <v>1</v>
      </c>
      <c r="D294" s="438">
        <f>B294*C294</f>
        <v>69</v>
      </c>
    </row>
    <row r="295" spans="1:7" x14ac:dyDescent="0.2">
      <c r="A295" s="297" t="s">
        <v>545</v>
      </c>
      <c r="B295" s="238">
        <f>3.5*3</f>
        <v>10.5</v>
      </c>
      <c r="C295" s="238">
        <v>4</v>
      </c>
      <c r="D295" s="438">
        <f>B295*C295</f>
        <v>42</v>
      </c>
    </row>
    <row r="296" spans="1:7" ht="12.75" x14ac:dyDescent="0.2">
      <c r="D296" s="439">
        <f>SUM(D294:D295)</f>
        <v>111</v>
      </c>
    </row>
    <row r="298" spans="1:7" ht="15" x14ac:dyDescent="0.25">
      <c r="A298" s="909" t="s">
        <v>546</v>
      </c>
      <c r="B298" s="910"/>
      <c r="C298" s="910"/>
      <c r="D298" s="911"/>
    </row>
    <row r="299" spans="1:7" x14ac:dyDescent="0.2">
      <c r="A299" s="283"/>
      <c r="B299" s="213" t="s">
        <v>541</v>
      </c>
      <c r="C299" s="213" t="s">
        <v>542</v>
      </c>
      <c r="D299" s="214" t="s">
        <v>274</v>
      </c>
    </row>
    <row r="300" spans="1:7" x14ac:dyDescent="0.2">
      <c r="A300" s="297" t="s">
        <v>547</v>
      </c>
      <c r="B300" s="238">
        <v>7.5</v>
      </c>
      <c r="C300" s="238">
        <v>1</v>
      </c>
      <c r="D300" s="438">
        <f>B300*C300</f>
        <v>7.5</v>
      </c>
    </row>
    <row r="301" spans="1:7" x14ac:dyDescent="0.2">
      <c r="A301" s="297" t="s">
        <v>548</v>
      </c>
      <c r="B301" s="238">
        <v>70</v>
      </c>
      <c r="C301" s="238">
        <v>1</v>
      </c>
      <c r="D301" s="438">
        <f>B301*C301</f>
        <v>70</v>
      </c>
    </row>
    <row r="302" spans="1:7" ht="12.75" x14ac:dyDescent="0.2">
      <c r="D302" s="439">
        <f>SUM(D300:D301)</f>
        <v>77.5</v>
      </c>
    </row>
    <row r="304" spans="1:7" ht="15" x14ac:dyDescent="0.25">
      <c r="A304" s="909" t="s">
        <v>561</v>
      </c>
      <c r="B304" s="910"/>
      <c r="C304" s="910"/>
      <c r="D304" s="911"/>
    </row>
    <row r="305" spans="1:5" x14ac:dyDescent="0.2">
      <c r="A305" s="283"/>
      <c r="B305" s="213" t="s">
        <v>61</v>
      </c>
      <c r="C305" s="213" t="s">
        <v>351</v>
      </c>
      <c r="D305" s="214" t="s">
        <v>274</v>
      </c>
    </row>
    <row r="306" spans="1:5" x14ac:dyDescent="0.2">
      <c r="A306" s="297" t="s">
        <v>562</v>
      </c>
      <c r="B306" s="238">
        <f>(0.12*0.12*10)</f>
        <v>0.14399999999999999</v>
      </c>
      <c r="C306" s="238">
        <v>4.4000000000000004</v>
      </c>
      <c r="D306" s="438">
        <f>B306*C306</f>
        <v>0.63360000000000005</v>
      </c>
    </row>
    <row r="307" spans="1:5" x14ac:dyDescent="0.2">
      <c r="A307" s="297" t="s">
        <v>563</v>
      </c>
      <c r="B307" s="238">
        <f>D306*70</f>
        <v>44.352000000000004</v>
      </c>
      <c r="C307" s="238">
        <v>1</v>
      </c>
      <c r="D307" s="438">
        <f>B307*C307</f>
        <v>44.352000000000004</v>
      </c>
    </row>
    <row r="308" spans="1:5" x14ac:dyDescent="0.2">
      <c r="A308" s="297" t="s">
        <v>564</v>
      </c>
      <c r="B308" s="238">
        <f>(0.15+0.15)*10</f>
        <v>3</v>
      </c>
      <c r="C308" s="238">
        <v>4.4000000000000004</v>
      </c>
      <c r="D308" s="438">
        <f>B308*C308</f>
        <v>13.200000000000001</v>
      </c>
    </row>
    <row r="309" spans="1:5" ht="12.75" x14ac:dyDescent="0.2">
      <c r="D309" s="439"/>
    </row>
    <row r="310" spans="1:5" ht="15" x14ac:dyDescent="0.25">
      <c r="A310" s="909" t="s">
        <v>565</v>
      </c>
      <c r="B310" s="910"/>
      <c r="C310" s="910"/>
      <c r="D310" s="911"/>
    </row>
    <row r="311" spans="1:5" ht="18.75" x14ac:dyDescent="0.2">
      <c r="A311" s="283"/>
      <c r="B311" s="459" t="s">
        <v>60</v>
      </c>
      <c r="C311" s="213"/>
      <c r="D311" s="214" t="s">
        <v>274</v>
      </c>
    </row>
    <row r="312" spans="1:5" x14ac:dyDescent="0.2">
      <c r="A312" s="297" t="s">
        <v>562</v>
      </c>
      <c r="B312" s="238">
        <f>0.12*0.2*21.85</f>
        <v>0.52440000000000009</v>
      </c>
      <c r="C312" s="238"/>
      <c r="D312" s="438">
        <f>B312</f>
        <v>0.52440000000000009</v>
      </c>
    </row>
    <row r="313" spans="1:5" x14ac:dyDescent="0.2">
      <c r="A313" s="297" t="s">
        <v>563</v>
      </c>
      <c r="B313" s="238">
        <f>D312*70</f>
        <v>36.708000000000006</v>
      </c>
      <c r="C313" s="238"/>
      <c r="D313" s="438">
        <f>B313</f>
        <v>36.708000000000006</v>
      </c>
    </row>
    <row r="314" spans="1:5" x14ac:dyDescent="0.2">
      <c r="A314" s="297" t="s">
        <v>564</v>
      </c>
      <c r="B314" s="238">
        <f>(0.12+0.25+0.25)*21.85</f>
        <v>13.547000000000001</v>
      </c>
      <c r="C314" s="238"/>
      <c r="D314" s="438">
        <f>B314</f>
        <v>13.547000000000001</v>
      </c>
    </row>
    <row r="317" spans="1:5" ht="15" x14ac:dyDescent="0.25">
      <c r="A317" s="909" t="s">
        <v>32</v>
      </c>
      <c r="B317" s="910"/>
      <c r="C317" s="910"/>
      <c r="D317" s="911"/>
    </row>
    <row r="318" spans="1:5" x14ac:dyDescent="0.2">
      <c r="A318" s="283"/>
      <c r="B318" s="459"/>
      <c r="C318" s="213"/>
      <c r="D318" s="463" t="s">
        <v>274</v>
      </c>
      <c r="E318" s="463"/>
    </row>
    <row r="319" spans="1:5" x14ac:dyDescent="0.2">
      <c r="A319" s="462" t="s">
        <v>33</v>
      </c>
      <c r="B319" s="238">
        <v>11</v>
      </c>
      <c r="C319" s="238"/>
      <c r="D319" s="284">
        <f>B319</f>
        <v>11</v>
      </c>
      <c r="E319" s="438"/>
    </row>
    <row r="320" spans="1:5" ht="17.25" x14ac:dyDescent="0.2">
      <c r="A320" s="462" t="s">
        <v>35</v>
      </c>
      <c r="B320" s="238">
        <f>13+5</f>
        <v>18</v>
      </c>
      <c r="C320" s="238"/>
      <c r="D320" s="284">
        <f>B320</f>
        <v>18</v>
      </c>
      <c r="E320" s="438"/>
    </row>
    <row r="321" spans="1:5" ht="25.5" x14ac:dyDescent="0.2">
      <c r="A321" s="462" t="s">
        <v>34</v>
      </c>
      <c r="B321" s="238">
        <v>5</v>
      </c>
      <c r="C321" s="238"/>
      <c r="D321" s="284">
        <f>B321</f>
        <v>5</v>
      </c>
      <c r="E321" s="438"/>
    </row>
  </sheetData>
  <customSheetViews>
    <customSheetView guid="{A9E6D264-7B9C-4375-A0CF-466470785BB4}" scale="130" fitToPage="1" hiddenColumns="1" topLeftCell="A125">
      <selection activeCell="A145" sqref="A145"/>
      <pageMargins left="0.511811024" right="0.511811024" top="0.78740157499999996" bottom="0.78740157499999996" header="0.31496062000000002" footer="0.31496062000000002"/>
      <pageSetup paperSize="9" scale="62" fitToHeight="15" orientation="portrait" r:id="rId1"/>
    </customSheetView>
    <customSheetView guid="{DD765DCE-E655-456A-9D24-4450FE20736A}" scale="130" fitToPage="1" hiddenColumns="1" topLeftCell="A125">
      <selection activeCell="A145" sqref="A145"/>
      <pageMargins left="0.511811024" right="0.511811024" top="0.78740157499999996" bottom="0.78740157499999996" header="0.31496062000000002" footer="0.31496062000000002"/>
      <pageSetup paperSize="9" scale="62" fitToHeight="15" orientation="portrait" r:id="rId2"/>
    </customSheetView>
    <customSheetView guid="{085E57EC-FCE4-472B-96BD-85A48C0D7EC5}" scale="130" fitToPage="1" showRuler="0" topLeftCell="A142">
      <selection activeCell="G27" sqref="G27"/>
      <pageMargins left="0.511811024" right="0.511811024" top="0.78740157499999996" bottom="0.78740157499999996" header="0.31496062000000002" footer="0.31496062000000002"/>
      <pageSetup paperSize="9" scale="62" fitToHeight="15" orientation="portrait" r:id="rId3"/>
      <headerFooter alignWithMargins="0"/>
    </customSheetView>
    <customSheetView guid="{64A379BA-3141-462E-A550-7507503698AB}" scale="130" fitToPage="1" topLeftCell="A142">
      <selection activeCell="B166" sqref="B166"/>
      <pageMargins left="0.511811024" right="0.511811024" top="0.78740157499999996" bottom="0.78740157499999996" header="0.31496062000000002" footer="0.31496062000000002"/>
      <pageSetup paperSize="9" scale="62" fitToHeight="15" orientation="portrait" r:id="rId4"/>
    </customSheetView>
  </customSheetViews>
  <mergeCells count="62">
    <mergeCell ref="A1:L1"/>
    <mergeCell ref="A304:D304"/>
    <mergeCell ref="A279:D279"/>
    <mergeCell ref="A269:D269"/>
    <mergeCell ref="K120:M120"/>
    <mergeCell ref="A120:D120"/>
    <mergeCell ref="L188:N188"/>
    <mergeCell ref="A219:A220"/>
    <mergeCell ref="A243:A244"/>
    <mergeCell ref="A249:D249"/>
    <mergeCell ref="A274:D274"/>
    <mergeCell ref="A251:A253"/>
    <mergeCell ref="A256:A259"/>
    <mergeCell ref="J188:K188"/>
    <mergeCell ref="A198:D198"/>
    <mergeCell ref="A209:A212"/>
    <mergeCell ref="K106:N106"/>
    <mergeCell ref="K112:M112"/>
    <mergeCell ref="A124:C124"/>
    <mergeCell ref="A112:C112"/>
    <mergeCell ref="K114:N114"/>
    <mergeCell ref="F106:I106"/>
    <mergeCell ref="F112:H112"/>
    <mergeCell ref="F114:I114"/>
    <mergeCell ref="F120:H120"/>
    <mergeCell ref="K5:N5"/>
    <mergeCell ref="F5:I5"/>
    <mergeCell ref="A5:D5"/>
    <mergeCell ref="A3:N3"/>
    <mergeCell ref="A34:D34"/>
    <mergeCell ref="A200:A206"/>
    <mergeCell ref="A215:A216"/>
    <mergeCell ref="A194:A197"/>
    <mergeCell ref="A189:D189"/>
    <mergeCell ref="A25:D25"/>
    <mergeCell ref="A62:D62"/>
    <mergeCell ref="A84:D84"/>
    <mergeCell ref="A128:D128"/>
    <mergeCell ref="A106:D106"/>
    <mergeCell ref="A125:C125"/>
    <mergeCell ref="A114:D114"/>
    <mergeCell ref="A123:C123"/>
    <mergeCell ref="A191:A192"/>
    <mergeCell ref="A129:D129"/>
    <mergeCell ref="A134:D134"/>
    <mergeCell ref="A118:C118"/>
    <mergeCell ref="A317:D317"/>
    <mergeCell ref="A122:C122"/>
    <mergeCell ref="A224:A225"/>
    <mergeCell ref="A271:A272"/>
    <mergeCell ref="A298:D298"/>
    <mergeCell ref="A284:D284"/>
    <mergeCell ref="A267:D267"/>
    <mergeCell ref="A292:D292"/>
    <mergeCell ref="A230:A234"/>
    <mergeCell ref="A237:A240"/>
    <mergeCell ref="A152:D152"/>
    <mergeCell ref="A169:D169"/>
    <mergeCell ref="A187:F187"/>
    <mergeCell ref="A310:D310"/>
    <mergeCell ref="A262:A263"/>
    <mergeCell ref="A228:D228"/>
  </mergeCells>
  <phoneticPr fontId="0" type="noConversion"/>
  <pageMargins left="0.51181102362204722" right="0.51181102362204722" top="0.78740157480314965" bottom="0.78740157480314965" header="0.31496062992125984" footer="0.31496062992125984"/>
  <pageSetup paperSize="9" scale="26" fitToHeight="15" orientation="portrait"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7</vt:i4>
      </vt:variant>
    </vt:vector>
  </HeadingPairs>
  <TitlesOfParts>
    <vt:vector size="12" baseType="lpstr">
      <vt:lpstr>RESUMO</vt:lpstr>
      <vt:lpstr>ANALÍTICO</vt:lpstr>
      <vt:lpstr>CRONOGRAMA</vt:lpstr>
      <vt:lpstr>ANALÍTICO ELÉTRICO E LÓGICO</vt:lpstr>
      <vt:lpstr>MEMÓRIA DE CÁLCULO</vt:lpstr>
      <vt:lpstr>ANALÍTICO!Area_de_impressao</vt:lpstr>
      <vt:lpstr>'ANALÍTICO ELÉTRICO E LÓGICO'!Area_de_impressao</vt:lpstr>
      <vt:lpstr>CRONOGRAMA!Area_de_impressao</vt:lpstr>
      <vt:lpstr>RESUMO!Area_de_impressao</vt:lpstr>
      <vt:lpstr>ANALÍTICO!Titulos_de_impressao</vt:lpstr>
      <vt:lpstr>'ANALÍTICO ELÉTRICO E LÓGICO'!Titulos_de_impressao</vt:lpstr>
      <vt:lpstr>CRONOGRAMA!Titulos_de_impressao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Anadélia Trentini Campara</dc:creator>
  <cp:lastModifiedBy>Anadélia Trentini Campara</cp:lastModifiedBy>
  <cp:lastPrinted>2014-08-26T16:52:52Z</cp:lastPrinted>
  <dcterms:created xsi:type="dcterms:W3CDTF">2011-09-15T18:47:22Z</dcterms:created>
  <dcterms:modified xsi:type="dcterms:W3CDTF">2014-10-23T17:32:58Z</dcterms:modified>
</cp:coreProperties>
</file>